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file-server\ARD\HPLC REPORTS\2026\Monomer\JAN\08-01-2026\"/>
    </mc:Choice>
  </mc:AlternateContent>
  <xr:revisionPtr revIDLastSave="0" documentId="13_ncr:1_{5D703AAF-59DE-4E4B-8FD7-9EA0C1A04FFE}" xr6:coauthVersionLast="47" xr6:coauthVersionMax="47" xr10:uidLastSave="{00000000-0000-0000-0000-000000000000}"/>
  <bookViews>
    <workbookView xWindow="14415" yWindow="105" windowWidth="14385" windowHeight="15270" tabRatio="721" xr2:uid="{00000000-000D-0000-FFFF-FFFF00000000}"/>
  </bookViews>
  <sheets>
    <sheet name="08-01-2026" sheetId="21" r:id="rId1"/>
    <sheet name="SA-002 APB A03 33" sheetId="29" r:id="rId2"/>
    <sheet name="SA-002 APB A03 35" sheetId="30" r:id="rId3"/>
    <sheet name="SA002-APB-A03-43" sheetId="31" r:id="rId4"/>
    <sheet name="SA002-APB-A03-44" sheetId="32" r:id="rId5"/>
    <sheet name="SA002-APB-A03-45" sheetId="33" r:id="rId6"/>
  </sheets>
  <externalReferences>
    <externalReference r:id="rId7"/>
  </externalReferences>
  <definedNames>
    <definedName name="_xlnm.Print_Area" localSheetId="0">'08-01-2026'!$E$6:$M$113</definedName>
    <definedName name="_xlnm.Print_Area" localSheetId="1">'SA-002 APB A03 33'!$B$3:$I$21</definedName>
    <definedName name="_xlnm.Print_Area" localSheetId="2">'SA-002 APB A03 35'!$B$3:$I$21</definedName>
    <definedName name="_xlnm.Print_Area" localSheetId="3">'SA002-APB-A03-43'!$B$3:$I$25</definedName>
    <definedName name="_xlnm.Print_Area" localSheetId="4">'SA002-APB-A03-44'!$B$3:$I$24</definedName>
    <definedName name="_xlnm.Print_Area" localSheetId="5">'SA002-APB-A03-45'!$B$3:$I$33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33" l="1"/>
  <c r="E21" i="33" s="1"/>
  <c r="D22" i="33"/>
  <c r="E22" i="33"/>
  <c r="D23" i="33"/>
  <c r="E23" i="33"/>
  <c r="D24" i="33"/>
  <c r="E24" i="33"/>
  <c r="D25" i="33"/>
  <c r="E25" i="33"/>
  <c r="D26" i="33"/>
  <c r="E26" i="33"/>
  <c r="D27" i="33"/>
  <c r="E27" i="33"/>
  <c r="D28" i="33"/>
  <c r="E28" i="33"/>
  <c r="I5" i="33"/>
  <c r="H5" i="33"/>
  <c r="G5" i="33"/>
  <c r="F5" i="33"/>
  <c r="E5" i="33"/>
  <c r="C5" i="33"/>
  <c r="I4" i="33"/>
  <c r="H4" i="33"/>
  <c r="G4" i="33"/>
  <c r="F4" i="33"/>
  <c r="E4" i="33"/>
  <c r="C4" i="33"/>
  <c r="I3" i="33"/>
  <c r="H3" i="33"/>
  <c r="G3" i="33"/>
  <c r="F3" i="33"/>
  <c r="E3" i="33"/>
  <c r="D3" i="33"/>
  <c r="C3" i="33"/>
  <c r="I5" i="32"/>
  <c r="H5" i="32"/>
  <c r="G5" i="32"/>
  <c r="F5" i="32"/>
  <c r="E5" i="32"/>
  <c r="C5" i="32"/>
  <c r="I4" i="32"/>
  <c r="H4" i="32"/>
  <c r="G4" i="32"/>
  <c r="F4" i="32"/>
  <c r="E4" i="32"/>
  <c r="C4" i="32"/>
  <c r="I3" i="32"/>
  <c r="H3" i="32"/>
  <c r="G3" i="32"/>
  <c r="F3" i="32"/>
  <c r="E3" i="32"/>
  <c r="D3" i="32"/>
  <c r="C3" i="32"/>
  <c r="D20" i="31"/>
  <c r="E20" i="31" s="1"/>
  <c r="D19" i="31"/>
  <c r="E19" i="31" s="1"/>
  <c r="D18" i="31"/>
  <c r="E18" i="31" s="1"/>
  <c r="D17" i="31"/>
  <c r="E17" i="31"/>
  <c r="I5" i="31"/>
  <c r="H5" i="31"/>
  <c r="G5" i="31"/>
  <c r="F5" i="31"/>
  <c r="E5" i="31"/>
  <c r="C5" i="31"/>
  <c r="I4" i="31"/>
  <c r="H4" i="31"/>
  <c r="G4" i="31"/>
  <c r="F4" i="31"/>
  <c r="E4" i="31"/>
  <c r="D13" i="31" s="1"/>
  <c r="E13" i="31" s="1"/>
  <c r="C4" i="31"/>
  <c r="I3" i="31"/>
  <c r="H3" i="31"/>
  <c r="G3" i="31"/>
  <c r="F3" i="31"/>
  <c r="E3" i="31"/>
  <c r="D3" i="31"/>
  <c r="C3" i="31"/>
  <c r="C24" i="21"/>
  <c r="C22" i="21"/>
  <c r="I3" i="30"/>
  <c r="H3" i="30"/>
  <c r="G3" i="30"/>
  <c r="F3" i="30"/>
  <c r="E3" i="30"/>
  <c r="D3" i="30"/>
  <c r="C3" i="30"/>
  <c r="D17" i="33" l="1"/>
  <c r="E17" i="33" s="1"/>
  <c r="D10" i="33"/>
  <c r="E10" i="33" s="1"/>
  <c r="D20" i="33"/>
  <c r="E20" i="33" s="1"/>
  <c r="D11" i="33"/>
  <c r="E11" i="33" s="1"/>
  <c r="D12" i="33"/>
  <c r="E12" i="33" s="1"/>
  <c r="D13" i="33"/>
  <c r="E13" i="33" s="1"/>
  <c r="D18" i="33"/>
  <c r="E18" i="33" s="1"/>
  <c r="D19" i="33"/>
  <c r="E19" i="33" s="1"/>
  <c r="D14" i="33"/>
  <c r="E14" i="33" s="1"/>
  <c r="D29" i="33"/>
  <c r="E29" i="33" s="1"/>
  <c r="D15" i="33"/>
  <c r="E15" i="33" s="1"/>
  <c r="D16" i="33"/>
  <c r="E16" i="33" s="1"/>
  <c r="D17" i="32"/>
  <c r="E17" i="32" s="1"/>
  <c r="D10" i="32"/>
  <c r="E10" i="32" s="1"/>
  <c r="D11" i="32"/>
  <c r="E11" i="32" s="1"/>
  <c r="D20" i="32"/>
  <c r="E20" i="32" s="1"/>
  <c r="D13" i="32"/>
  <c r="E13" i="32" s="1"/>
  <c r="D15" i="32"/>
  <c r="E15" i="32" s="1"/>
  <c r="D16" i="32"/>
  <c r="E16" i="32" s="1"/>
  <c r="D18" i="32"/>
  <c r="E18" i="32" s="1"/>
  <c r="D19" i="32"/>
  <c r="E19" i="32" s="1"/>
  <c r="D14" i="32"/>
  <c r="E14" i="32" s="1"/>
  <c r="D12" i="32"/>
  <c r="D15" i="31"/>
  <c r="E15" i="31" s="1"/>
  <c r="D14" i="31"/>
  <c r="E14" i="31" s="1"/>
  <c r="D10" i="31"/>
  <c r="E10" i="31" s="1"/>
  <c r="D11" i="31"/>
  <c r="E11" i="31" s="1"/>
  <c r="D16" i="31"/>
  <c r="E16" i="31" s="1"/>
  <c r="D21" i="31"/>
  <c r="E21" i="31" s="1"/>
  <c r="D12" i="31"/>
  <c r="I3" i="29"/>
  <c r="H3" i="29"/>
  <c r="G3" i="29"/>
  <c r="F3" i="29"/>
  <c r="E3" i="29"/>
  <c r="D3" i="29"/>
  <c r="C3" i="29"/>
  <c r="D31" i="33" l="1"/>
  <c r="E12" i="32"/>
  <c r="D22" i="32"/>
  <c r="E12" i="31"/>
  <c r="D23" i="31"/>
  <c r="I79" i="21"/>
  <c r="I78" i="21"/>
  <c r="I77" i="21"/>
  <c r="I76" i="21"/>
  <c r="I75" i="21"/>
  <c r="F76" i="21"/>
  <c r="F75" i="21"/>
  <c r="F77" i="21"/>
  <c r="D32" i="33" l="1"/>
  <c r="E32" i="33" s="1"/>
  <c r="E33" i="33" s="1"/>
  <c r="E31" i="33"/>
  <c r="D23" i="32"/>
  <c r="E23" i="32" s="1"/>
  <c r="E24" i="32" s="1"/>
  <c r="E22" i="32"/>
  <c r="D24" i="31"/>
  <c r="E24" i="31" s="1"/>
  <c r="E25" i="31" s="1"/>
  <c r="E23" i="31"/>
  <c r="I106" i="21"/>
  <c r="F106" i="21"/>
  <c r="C106" i="21"/>
  <c r="I105" i="21"/>
  <c r="F105" i="21"/>
  <c r="C105" i="21"/>
  <c r="I104" i="21"/>
  <c r="F104" i="21"/>
  <c r="C104" i="21"/>
  <c r="I103" i="21"/>
  <c r="F103" i="21"/>
  <c r="C103" i="21"/>
  <c r="I102" i="21"/>
  <c r="F102" i="21"/>
  <c r="C102" i="21"/>
  <c r="I101" i="21"/>
  <c r="F101" i="21"/>
  <c r="C101" i="21"/>
  <c r="E100" i="21"/>
  <c r="L115" i="21" s="1"/>
  <c r="I93" i="21"/>
  <c r="F93" i="21"/>
  <c r="C93" i="21"/>
  <c r="I92" i="21"/>
  <c r="F92" i="21"/>
  <c r="C92" i="21"/>
  <c r="I91" i="21"/>
  <c r="F91" i="21"/>
  <c r="C91" i="21"/>
  <c r="I90" i="21"/>
  <c r="F90" i="21"/>
  <c r="C90" i="21"/>
  <c r="I89" i="21"/>
  <c r="F89" i="21"/>
  <c r="C89" i="21"/>
  <c r="I88" i="21"/>
  <c r="F88" i="21"/>
  <c r="C88" i="21"/>
  <c r="D88" i="21" s="1"/>
  <c r="E87" i="21"/>
  <c r="K115" i="21" s="1"/>
  <c r="I80" i="21"/>
  <c r="F80" i="21"/>
  <c r="C80" i="21"/>
  <c r="F79" i="21"/>
  <c r="C79" i="21"/>
  <c r="F78" i="21"/>
  <c r="I84" i="21" s="1"/>
  <c r="C78" i="21"/>
  <c r="C77" i="21"/>
  <c r="C76" i="21"/>
  <c r="C75" i="21"/>
  <c r="E74" i="21"/>
  <c r="J115" i="21" s="1"/>
  <c r="I66" i="21"/>
  <c r="F66" i="21"/>
  <c r="C66" i="21"/>
  <c r="I65" i="21"/>
  <c r="F65" i="21"/>
  <c r="C65" i="21"/>
  <c r="I64" i="21"/>
  <c r="F64" i="21"/>
  <c r="C64" i="21"/>
  <c r="I63" i="21"/>
  <c r="F63" i="21"/>
  <c r="C63" i="21"/>
  <c r="I62" i="21"/>
  <c r="F62" i="21"/>
  <c r="C62" i="21"/>
  <c r="I61" i="21"/>
  <c r="F61" i="21"/>
  <c r="C61" i="21"/>
  <c r="E60" i="21"/>
  <c r="I115" i="21" s="1"/>
  <c r="I53" i="21"/>
  <c r="F53" i="21"/>
  <c r="C53" i="21"/>
  <c r="F52" i="21"/>
  <c r="C52" i="21"/>
  <c r="I51" i="21"/>
  <c r="F51" i="21"/>
  <c r="C51" i="21"/>
  <c r="I50" i="21"/>
  <c r="F50" i="21"/>
  <c r="C50" i="21"/>
  <c r="I49" i="21"/>
  <c r="F49" i="21"/>
  <c r="C49" i="21"/>
  <c r="I48" i="21"/>
  <c r="F48" i="21"/>
  <c r="C48" i="21"/>
  <c r="E47" i="21"/>
  <c r="H115" i="21" s="1"/>
  <c r="I40" i="21"/>
  <c r="F40" i="21"/>
  <c r="C40" i="21"/>
  <c r="I39" i="21"/>
  <c r="F39" i="21"/>
  <c r="C39" i="21"/>
  <c r="I38" i="21"/>
  <c r="F38" i="21"/>
  <c r="C38" i="21"/>
  <c r="I37" i="21"/>
  <c r="F37" i="21"/>
  <c r="C37" i="21"/>
  <c r="I36" i="21"/>
  <c r="F36" i="21"/>
  <c r="C36" i="21"/>
  <c r="I35" i="21"/>
  <c r="F35" i="21"/>
  <c r="C35" i="21"/>
  <c r="E34" i="21"/>
  <c r="G115" i="21" s="1"/>
  <c r="I27" i="21"/>
  <c r="F27" i="21"/>
  <c r="C27" i="21"/>
  <c r="I26" i="21"/>
  <c r="F26" i="21"/>
  <c r="C26" i="21"/>
  <c r="I25" i="21"/>
  <c r="F25" i="21"/>
  <c r="C25" i="21"/>
  <c r="I24" i="21"/>
  <c r="F24" i="21"/>
  <c r="I23" i="21"/>
  <c r="F23" i="21"/>
  <c r="C23" i="21"/>
  <c r="I22" i="21"/>
  <c r="F22" i="21"/>
  <c r="D22" i="21"/>
  <c r="E21" i="21"/>
  <c r="F115" i="21" s="1"/>
  <c r="I85" i="21" l="1"/>
  <c r="J117" i="21"/>
  <c r="G5" i="29" s="1"/>
  <c r="G5" i="30" s="1"/>
  <c r="I110" i="21"/>
  <c r="I54" i="21"/>
  <c r="I55" i="21" s="1"/>
  <c r="I83" i="21"/>
  <c r="J116" i="21" s="1"/>
  <c r="I70" i="21"/>
  <c r="I117" i="21" s="1"/>
  <c r="F5" i="29" s="1"/>
  <c r="F5" i="30" s="1"/>
  <c r="I94" i="21"/>
  <c r="I95" i="21" s="1"/>
  <c r="I96" i="21"/>
  <c r="K116" i="21" s="1"/>
  <c r="I97" i="21"/>
  <c r="I56" i="21"/>
  <c r="H116" i="21" s="1"/>
  <c r="I28" i="21"/>
  <c r="I29" i="21" s="1"/>
  <c r="I107" i="21"/>
  <c r="I108" i="21" s="1"/>
  <c r="I41" i="21"/>
  <c r="I42" i="21" s="1"/>
  <c r="I31" i="21"/>
  <c r="I109" i="21"/>
  <c r="L116" i="21" s="1"/>
  <c r="I81" i="21"/>
  <c r="I82" i="21" s="1"/>
  <c r="I43" i="21"/>
  <c r="G116" i="21" s="1"/>
  <c r="I44" i="21"/>
  <c r="I30" i="21"/>
  <c r="F116" i="21" s="1"/>
  <c r="C4" i="29" s="1"/>
  <c r="C4" i="30" s="1"/>
  <c r="I69" i="21"/>
  <c r="I116" i="21" s="1"/>
  <c r="I67" i="21"/>
  <c r="I68" i="21" s="1"/>
  <c r="I57" i="21"/>
  <c r="H117" i="21" s="1"/>
  <c r="E5" i="29" s="1"/>
  <c r="D4" i="32" l="1"/>
  <c r="D4" i="33"/>
  <c r="D4" i="31"/>
  <c r="H118" i="21"/>
  <c r="E4" i="29"/>
  <c r="E4" i="30" s="1"/>
  <c r="I118" i="21"/>
  <c r="F4" i="29"/>
  <c r="F4" i="30" s="1"/>
  <c r="I45" i="21"/>
  <c r="G117" i="21"/>
  <c r="D13" i="29"/>
  <c r="E13" i="29" s="1"/>
  <c r="D14" i="29"/>
  <c r="E14" i="29" s="1"/>
  <c r="E5" i="30"/>
  <c r="D15" i="29"/>
  <c r="E15" i="29" s="1"/>
  <c r="D16" i="29"/>
  <c r="E16" i="29" s="1"/>
  <c r="D17" i="29"/>
  <c r="E17" i="29" s="1"/>
  <c r="K117" i="21"/>
  <c r="H5" i="29" s="1"/>
  <c r="I98" i="21"/>
  <c r="L117" i="21"/>
  <c r="I5" i="29" s="1"/>
  <c r="I111" i="21"/>
  <c r="K118" i="21"/>
  <c r="K119" i="21" s="1"/>
  <c r="H4" i="29"/>
  <c r="H4" i="30" s="1"/>
  <c r="G118" i="21"/>
  <c r="D4" i="29"/>
  <c r="D4" i="30" s="1"/>
  <c r="L118" i="21"/>
  <c r="I4" i="29"/>
  <c r="I4" i="30" s="1"/>
  <c r="I32" i="21"/>
  <c r="F117" i="21"/>
  <c r="C5" i="29" s="1"/>
  <c r="C5" i="30" s="1"/>
  <c r="J118" i="21"/>
  <c r="G4" i="29"/>
  <c r="G4" i="30" s="1"/>
  <c r="I71" i="21"/>
  <c r="H119" i="21"/>
  <c r="G121" i="21"/>
  <c r="G122" i="21" s="1"/>
  <c r="L121" i="21"/>
  <c r="L122" i="21" s="1"/>
  <c r="G119" i="21"/>
  <c r="L119" i="21"/>
  <c r="F121" i="21"/>
  <c r="F122" i="21" s="1"/>
  <c r="I58" i="21"/>
  <c r="J121" i="21"/>
  <c r="J122" i="21" s="1"/>
  <c r="J119" i="21"/>
  <c r="K121" i="21"/>
  <c r="K122" i="21" s="1"/>
  <c r="I121" i="21"/>
  <c r="I122" i="21" s="1"/>
  <c r="I119" i="21"/>
  <c r="D5" i="29" l="1"/>
  <c r="D5" i="30" s="1"/>
  <c r="D5" i="32"/>
  <c r="D5" i="31"/>
  <c r="D5" i="33"/>
  <c r="D13" i="30"/>
  <c r="E13" i="30" s="1"/>
  <c r="D15" i="30"/>
  <c r="E15" i="30" s="1"/>
  <c r="D14" i="30"/>
  <c r="E14" i="30" s="1"/>
  <c r="D16" i="30"/>
  <c r="E16" i="30" s="1"/>
  <c r="D17" i="30"/>
  <c r="E17" i="30" s="1"/>
  <c r="D12" i="30"/>
  <c r="D11" i="29"/>
  <c r="E11" i="29" s="1"/>
  <c r="I5" i="30"/>
  <c r="D11" i="30" s="1"/>
  <c r="E11" i="30" s="1"/>
  <c r="H5" i="30"/>
  <c r="D10" i="30" s="1"/>
  <c r="E10" i="30" s="1"/>
  <c r="D10" i="29"/>
  <c r="E10" i="29" s="1"/>
  <c r="D12" i="29"/>
  <c r="O128" i="21"/>
  <c r="D19" i="29" l="1"/>
  <c r="E12" i="29"/>
  <c r="E12" i="30"/>
  <c r="D19" i="30"/>
  <c r="E19" i="30" l="1"/>
  <c r="D20" i="30"/>
  <c r="E20" i="30" s="1"/>
  <c r="E21" i="30" s="1"/>
  <c r="D20" i="29"/>
  <c r="E20" i="29" s="1"/>
  <c r="E21" i="29" s="1"/>
  <c r="E19" i="29"/>
</calcChain>
</file>

<file path=xl/sharedStrings.xml><?xml version="1.0" encoding="utf-8"?>
<sst xmlns="http://schemas.openxmlformats.org/spreadsheetml/2006/main" count="260" uniqueCount="110">
  <si>
    <t>R2</t>
  </si>
  <si>
    <t>SLOPE</t>
  </si>
  <si>
    <t>1-BPAA</t>
  </si>
  <si>
    <t>INSTRUMENT ID</t>
  </si>
  <si>
    <t xml:space="preserve">                Date :</t>
  </si>
  <si>
    <t>Average</t>
  </si>
  <si>
    <t>NEWATOM LABS PRIVATE LTD. R&amp;D CENTRE</t>
  </si>
  <si>
    <t>ANALYTICAL METHOD VALIDATION</t>
  </si>
  <si>
    <t>Linearity and Range</t>
  </si>
  <si>
    <t>PARAMETER</t>
  </si>
  <si>
    <t>PROJECT</t>
  </si>
  <si>
    <t>TEST</t>
  </si>
  <si>
    <t>NAL/ARD/HPLC-04</t>
  </si>
  <si>
    <t>Standard/Imp name</t>
  </si>
  <si>
    <t>Standard/Imp wt (mg)</t>
  </si>
  <si>
    <t>Purity/Potency (%)</t>
  </si>
  <si>
    <t>DAPBI</t>
  </si>
  <si>
    <t>Peak area-1</t>
  </si>
  <si>
    <t>Peak area-2</t>
  </si>
  <si>
    <t>Stock solution (mL)</t>
  </si>
  <si>
    <t>volume taken (mL)</t>
  </si>
  <si>
    <t>Imtermediate stock (mL)</t>
  </si>
  <si>
    <t>Linearity-2 (50%)</t>
  </si>
  <si>
    <t>Linearity-3 (75%)</t>
  </si>
  <si>
    <t>Linearity-4 (100%)</t>
  </si>
  <si>
    <t>Linearity-5 (125%)</t>
  </si>
  <si>
    <t>Linearity-6 (150%</t>
  </si>
  <si>
    <t>LOQ (30%)</t>
  </si>
  <si>
    <t>DAPBA</t>
  </si>
  <si>
    <t>Batch No.</t>
  </si>
  <si>
    <t>TABA</t>
  </si>
  <si>
    <t>4,4-DABA</t>
  </si>
  <si>
    <t>2-AP 4-AB</t>
  </si>
  <si>
    <t>PABI</t>
  </si>
  <si>
    <t>4-BIA</t>
  </si>
  <si>
    <t>Impurity name</t>
  </si>
  <si>
    <t>Slope</t>
  </si>
  <si>
    <t>Intercept</t>
  </si>
  <si>
    <t>% Y-Intrercept</t>
  </si>
  <si>
    <t>Correlation coefficient (R)</t>
  </si>
  <si>
    <t>RRF wrt TABA</t>
  </si>
  <si>
    <t>CF wrt TABA</t>
  </si>
  <si>
    <t>RRF wrt DAPBI</t>
  </si>
  <si>
    <t>CF wrt DAPBI</t>
  </si>
  <si>
    <t>Concentration(ppm)</t>
  </si>
  <si>
    <t>Y-Intercept</t>
  </si>
  <si>
    <t>Purity (%)</t>
  </si>
  <si>
    <t>Total imp</t>
  </si>
  <si>
    <t>Sum of Unknown imp</t>
  </si>
  <si>
    <t xml:space="preserve"> %</t>
  </si>
  <si>
    <t>PPM</t>
  </si>
  <si>
    <t xml:space="preserve">Peak Area </t>
  </si>
  <si>
    <t>AR No.</t>
  </si>
  <si>
    <t>Batch no.</t>
  </si>
  <si>
    <t xml:space="preserve"> </t>
  </si>
  <si>
    <t>RRT~ 2.137</t>
  </si>
  <si>
    <t>CA/2601/002</t>
  </si>
  <si>
    <t>RRT~ 0.788</t>
  </si>
  <si>
    <t>RRT~ 1.211</t>
  </si>
  <si>
    <t>RRT~ 1.239</t>
  </si>
  <si>
    <t>RRT~ 1.280</t>
  </si>
  <si>
    <t>RRT~ 1.317</t>
  </si>
  <si>
    <t>RRT~ 1.956</t>
  </si>
  <si>
    <t>SA-002/APB/A03/35</t>
  </si>
  <si>
    <t>CA/2601/003</t>
  </si>
  <si>
    <t>SA-002/APB/A03/33</t>
  </si>
  <si>
    <t>RRT~ 1.210</t>
  </si>
  <si>
    <t>RRT~ 2.190</t>
  </si>
  <si>
    <t>SA002-APB-A03-43</t>
  </si>
  <si>
    <t>HPLC/2601/124</t>
  </si>
  <si>
    <t>RRT~ 1.205</t>
  </si>
  <si>
    <t>RRT~ 1.236</t>
  </si>
  <si>
    <t>RRT~ 1.453</t>
  </si>
  <si>
    <t>RRT~ 1.654</t>
  </si>
  <si>
    <t>RRT~ 1.898</t>
  </si>
  <si>
    <t>RRT~ 1.946</t>
  </si>
  <si>
    <t>RRT~ 2.028</t>
  </si>
  <si>
    <t>RRT~ 2.135</t>
  </si>
  <si>
    <t>RRT~ 2.187</t>
  </si>
  <si>
    <t>RRT~ 2.230</t>
  </si>
  <si>
    <t>SA002-APB-A03-44</t>
  </si>
  <si>
    <t>HPLC/2601/122</t>
  </si>
  <si>
    <t>RRT~ 1.235</t>
  </si>
  <si>
    <t>RRT~ 1.452</t>
  </si>
  <si>
    <t>RRT~ 1.571</t>
  </si>
  <si>
    <t>RRT~ 1.651</t>
  </si>
  <si>
    <t>RRT~ 1.895</t>
  </si>
  <si>
    <t>RRT~ 1.945</t>
  </si>
  <si>
    <t>RRT~ 2.025</t>
  </si>
  <si>
    <t>RRT~ 2.132</t>
  </si>
  <si>
    <t>RRT~ 2.185</t>
  </si>
  <si>
    <t>SA002-APB-A03-46</t>
  </si>
  <si>
    <t>HPLC/2601/123</t>
  </si>
  <si>
    <t>RRT~ 0.196</t>
  </si>
  <si>
    <t>RRT~ 0.216</t>
  </si>
  <si>
    <t>RRT~ 0.254</t>
  </si>
  <si>
    <t>RRT~ 0.325</t>
  </si>
  <si>
    <t>RRT~ 0.356</t>
  </si>
  <si>
    <t>RRT~ 0.388</t>
  </si>
  <si>
    <t>RRT~ 0.408</t>
  </si>
  <si>
    <t>RRT~ 0.467</t>
  </si>
  <si>
    <t>RRT~ 1.200</t>
  </si>
  <si>
    <t>RRT~ 1.234</t>
  </si>
  <si>
    <t>RRT~ 1.391</t>
  </si>
  <si>
    <t>RRT~ 1.508</t>
  </si>
  <si>
    <t>RRT~ 1.565</t>
  </si>
  <si>
    <t>RRT~ 1.665</t>
  </si>
  <si>
    <t>RRT~ 1.747</t>
  </si>
  <si>
    <t>RRT~ 1.894</t>
  </si>
  <si>
    <t>RRT~ 1.944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</si>
</sst>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#,##0.0"/>
    <numFmt numFmtId="166" formatCode="0.000"/>
    <numFmt numFmtId="167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4" fontId="1" fillId="0" borderId="2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2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0" applyNumberFormat="1"/>
    <xf numFmtId="166" fontId="0" fillId="0" borderId="0" xfId="0" applyNumberFormat="1"/>
    <xf numFmtId="0" fontId="0" fillId="0" borderId="0" xfId="0" applyAlignment="1">
      <alignment wrapText="1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/>
    <xf numFmtId="2" fontId="4" fillId="0" borderId="10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0" fontId="4" fillId="0" borderId="9" xfId="0" applyFont="1" applyBorder="1"/>
    <xf numFmtId="0" fontId="5" fillId="0" borderId="9" xfId="0" applyFont="1" applyBorder="1" applyAlignment="1">
      <alignment vertical="center"/>
    </xf>
    <xf numFmtId="2" fontId="5" fillId="0" borderId="26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5" fillId="0" borderId="8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4" fillId="0" borderId="8" xfId="0" applyFont="1" applyBorder="1"/>
    <xf numFmtId="1" fontId="4" fillId="0" borderId="1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/>
    </xf>
    <xf numFmtId="0" fontId="4" fillId="0" borderId="1" xfId="0" applyFont="1" applyBorder="1"/>
    <xf numFmtId="14" fontId="4" fillId="5" borderId="28" xfId="0" applyNumberFormat="1" applyFont="1" applyFill="1" applyBorder="1" applyAlignment="1">
      <alignment horizontal="center"/>
    </xf>
    <xf numFmtId="0" fontId="4" fillId="0" borderId="29" xfId="0" applyFont="1" applyBorder="1"/>
    <xf numFmtId="3" fontId="4" fillId="0" borderId="1" xfId="0" applyNumberFormat="1" applyFont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5" fillId="0" borderId="0" xfId="0" applyFont="1"/>
    <xf numFmtId="2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4" fillId="0" borderId="33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1" fillId="0" borderId="2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4,4-DABA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258814523184601"/>
                  <c:y val="-6.365755311840179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'08-01-2026'!$F$35:$F$40</c:f>
              <c:numCache>
                <c:formatCode>0.0000</c:formatCode>
                <c:ptCount val="6"/>
                <c:pt idx="0">
                  <c:v>26.166000000000004</c:v>
                </c:pt>
                <c:pt idx="1">
                  <c:v>65.414999999999992</c:v>
                </c:pt>
                <c:pt idx="2">
                  <c:v>98.122500000000002</c:v>
                </c:pt>
                <c:pt idx="3">
                  <c:v>130.82999999999998</c:v>
                </c:pt>
                <c:pt idx="4">
                  <c:v>163.53749999999997</c:v>
                </c:pt>
                <c:pt idx="5">
                  <c:v>196.245</c:v>
                </c:pt>
              </c:numCache>
            </c:numRef>
          </c:xVal>
          <c:yVal>
            <c:numRef>
              <c:f>'08-01-2026'!$I$35:$I$40</c:f>
              <c:numCache>
                <c:formatCode>0</c:formatCode>
                <c:ptCount val="6"/>
                <c:pt idx="0">
                  <c:v>4793</c:v>
                </c:pt>
                <c:pt idx="1">
                  <c:v>12245</c:v>
                </c:pt>
                <c:pt idx="2">
                  <c:v>18007</c:v>
                </c:pt>
                <c:pt idx="3">
                  <c:v>23481</c:v>
                </c:pt>
                <c:pt idx="4">
                  <c:v>29347</c:v>
                </c:pt>
                <c:pt idx="5">
                  <c:v>36043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DF-469D-82AA-8DF378F79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3407056"/>
        <c:axId val="1713403792"/>
      </c:scatterChart>
      <c:valAx>
        <c:axId val="1713407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3403792"/>
        <c:crosses val="autoZero"/>
        <c:crossBetween val="midCat"/>
      </c:valAx>
      <c:valAx>
        <c:axId val="17134037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3407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DAPBI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0457378638481"/>
                  <c:y val="-5.509090909090909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'08-01-2026'!$F$48:$F$53</c:f>
              <c:numCache>
                <c:formatCode>0.0000</c:formatCode>
                <c:ptCount val="6"/>
                <c:pt idx="0">
                  <c:v>25.529</c:v>
                </c:pt>
                <c:pt idx="1">
                  <c:v>63.822499999999991</c:v>
                </c:pt>
                <c:pt idx="2">
                  <c:v>95.733750000000001</c:v>
                </c:pt>
                <c:pt idx="3">
                  <c:v>127.64499999999998</c:v>
                </c:pt>
                <c:pt idx="4">
                  <c:v>159.55625000000001</c:v>
                </c:pt>
                <c:pt idx="5">
                  <c:v>191.4675</c:v>
                </c:pt>
              </c:numCache>
            </c:numRef>
          </c:xVal>
          <c:yVal>
            <c:numRef>
              <c:f>'08-01-2026'!$I$48:$I$53</c:f>
              <c:numCache>
                <c:formatCode>0</c:formatCode>
                <c:ptCount val="6"/>
                <c:pt idx="0">
                  <c:v>4990</c:v>
                </c:pt>
                <c:pt idx="1">
                  <c:v>10887</c:v>
                </c:pt>
                <c:pt idx="2">
                  <c:v>16572</c:v>
                </c:pt>
                <c:pt idx="3">
                  <c:v>21312</c:v>
                </c:pt>
                <c:pt idx="4" formatCode="General">
                  <c:v>26261</c:v>
                </c:pt>
                <c:pt idx="5">
                  <c:v>33151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1E-4A09-A8CF-7E2094AEA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3397808"/>
        <c:axId val="1713405424"/>
      </c:scatterChart>
      <c:valAx>
        <c:axId val="1713397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3405424"/>
        <c:crosses val="autoZero"/>
        <c:crossBetween val="midCat"/>
      </c:valAx>
      <c:valAx>
        <c:axId val="17134054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3397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2-AP 4-AB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245678749615759"/>
                  <c:y val="-7.933333333333333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'08-01-2026'!$F$61:$F$66</c:f>
              <c:numCache>
                <c:formatCode>0.0000</c:formatCode>
                <c:ptCount val="6"/>
                <c:pt idx="0">
                  <c:v>26.038319999999999</c:v>
                </c:pt>
                <c:pt idx="1">
                  <c:v>65.095799999999997</c:v>
                </c:pt>
                <c:pt idx="2">
                  <c:v>97.643699999999995</c:v>
                </c:pt>
                <c:pt idx="3">
                  <c:v>130.19159999999999</c:v>
                </c:pt>
                <c:pt idx="4">
                  <c:v>162.73949999999999</c:v>
                </c:pt>
                <c:pt idx="5">
                  <c:v>195.28739999999999</c:v>
                </c:pt>
              </c:numCache>
            </c:numRef>
          </c:xVal>
          <c:yVal>
            <c:numRef>
              <c:f>'08-01-2026'!$I$61:$I$66</c:f>
              <c:numCache>
                <c:formatCode>0</c:formatCode>
                <c:ptCount val="6"/>
                <c:pt idx="0">
                  <c:v>2735</c:v>
                </c:pt>
                <c:pt idx="1">
                  <c:v>6760</c:v>
                </c:pt>
                <c:pt idx="2">
                  <c:v>10135</c:v>
                </c:pt>
                <c:pt idx="3">
                  <c:v>13649</c:v>
                </c:pt>
                <c:pt idx="4">
                  <c:v>17161</c:v>
                </c:pt>
                <c:pt idx="5">
                  <c:v>20703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8E-4AD7-A7B5-A54341542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3402704"/>
        <c:axId val="1713410864"/>
      </c:scatterChart>
      <c:valAx>
        <c:axId val="1713402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3410864"/>
        <c:crosses val="autoZero"/>
        <c:crossBetween val="midCat"/>
      </c:valAx>
      <c:valAx>
        <c:axId val="17134108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3402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DAPBA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998604904116716"/>
                  <c:y val="-8.539393939393939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'08-01-2026'!$F$75:$F$80</c:f>
              <c:numCache>
                <c:formatCode>0.0000</c:formatCode>
                <c:ptCount val="6"/>
                <c:pt idx="0">
                  <c:v>50.280299999999997</c:v>
                </c:pt>
                <c:pt idx="1">
                  <c:v>125.70074999999997</c:v>
                </c:pt>
                <c:pt idx="2">
                  <c:v>188.55112500000001</c:v>
                </c:pt>
                <c:pt idx="3">
                  <c:v>251.40149999999994</c:v>
                </c:pt>
                <c:pt idx="4">
                  <c:v>314.25187499999998</c:v>
                </c:pt>
                <c:pt idx="5">
                  <c:v>377.10225000000003</c:v>
                </c:pt>
              </c:numCache>
            </c:numRef>
          </c:xVal>
          <c:yVal>
            <c:numRef>
              <c:f>'08-01-2026'!$I$75:$I$80</c:f>
              <c:numCache>
                <c:formatCode>0</c:formatCode>
                <c:ptCount val="6"/>
                <c:pt idx="0">
                  <c:v>288</c:v>
                </c:pt>
                <c:pt idx="1">
                  <c:v>878</c:v>
                </c:pt>
                <c:pt idx="2">
                  <c:v>1391</c:v>
                </c:pt>
                <c:pt idx="3">
                  <c:v>1776</c:v>
                </c:pt>
                <c:pt idx="4">
                  <c:v>2278</c:v>
                </c:pt>
                <c:pt idx="5">
                  <c:v>2781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66-4C6B-8319-23C7BFA73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3410320"/>
        <c:axId val="1713404336"/>
      </c:scatterChart>
      <c:valAx>
        <c:axId val="1713410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3404336"/>
        <c:crosses val="autoZero"/>
        <c:crossBetween val="midCat"/>
      </c:valAx>
      <c:valAx>
        <c:axId val="17134043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3410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PABI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5862784043886405"/>
                  <c:y val="-7.327272727272726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'08-01-2026'!$F$88:$F$93</c:f>
              <c:numCache>
                <c:formatCode>0.0000</c:formatCode>
                <c:ptCount val="6"/>
                <c:pt idx="0">
                  <c:v>12.115300000000003</c:v>
                </c:pt>
                <c:pt idx="1">
                  <c:v>30.288250000000001</c:v>
                </c:pt>
                <c:pt idx="2">
                  <c:v>45.432375000000008</c:v>
                </c:pt>
                <c:pt idx="3">
                  <c:v>60.576500000000003</c:v>
                </c:pt>
                <c:pt idx="4">
                  <c:v>75.720625000000013</c:v>
                </c:pt>
                <c:pt idx="5">
                  <c:v>90.864750000000015</c:v>
                </c:pt>
              </c:numCache>
            </c:numRef>
          </c:xVal>
          <c:yVal>
            <c:numRef>
              <c:f>'08-01-2026'!$I$88:$I$93</c:f>
              <c:numCache>
                <c:formatCode>0</c:formatCode>
                <c:ptCount val="6"/>
                <c:pt idx="0">
                  <c:v>2094</c:v>
                </c:pt>
                <c:pt idx="1">
                  <c:v>4378</c:v>
                </c:pt>
                <c:pt idx="2">
                  <c:v>6534</c:v>
                </c:pt>
                <c:pt idx="3">
                  <c:v>9299</c:v>
                </c:pt>
                <c:pt idx="4">
                  <c:v>11422</c:v>
                </c:pt>
                <c:pt idx="5">
                  <c:v>13796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B6-4FA0-91B0-F7B7CF462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3400528"/>
        <c:axId val="1713401072"/>
      </c:scatterChart>
      <c:valAx>
        <c:axId val="1713400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3401072"/>
        <c:crosses val="autoZero"/>
        <c:crossBetween val="midCat"/>
      </c:valAx>
      <c:valAx>
        <c:axId val="17134010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3400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4-BIA</a:t>
            </a:r>
          </a:p>
        </c:rich>
      </c:tx>
      <c:layout>
        <c:manualLayout>
          <c:xMode val="edge"/>
          <c:yMode val="edge"/>
          <c:x val="0.43477477477477477"/>
          <c:y val="3.636363636363636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0757678938781302"/>
                  <c:y val="-9.145454545454545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'08-01-2026'!$F$101:$F$106</c:f>
              <c:numCache>
                <c:formatCode>0.0000</c:formatCode>
                <c:ptCount val="6"/>
                <c:pt idx="0">
                  <c:v>12.608738999999998</c:v>
                </c:pt>
                <c:pt idx="1">
                  <c:v>31.5218475</c:v>
                </c:pt>
                <c:pt idx="2">
                  <c:v>47.282771250000003</c:v>
                </c:pt>
                <c:pt idx="3">
                  <c:v>63.043695</c:v>
                </c:pt>
                <c:pt idx="4">
                  <c:v>78.804618749999989</c:v>
                </c:pt>
                <c:pt idx="5">
                  <c:v>94.565542500000006</c:v>
                </c:pt>
              </c:numCache>
            </c:numRef>
          </c:xVal>
          <c:yVal>
            <c:numRef>
              <c:f>'08-01-2026'!$I$101:$I$106</c:f>
              <c:numCache>
                <c:formatCode>0</c:formatCode>
                <c:ptCount val="6"/>
                <c:pt idx="0">
                  <c:v>4385</c:v>
                </c:pt>
                <c:pt idx="1">
                  <c:v>11341</c:v>
                </c:pt>
                <c:pt idx="2">
                  <c:v>16436</c:v>
                </c:pt>
                <c:pt idx="3">
                  <c:v>22247</c:v>
                </c:pt>
                <c:pt idx="4">
                  <c:v>27881</c:v>
                </c:pt>
                <c:pt idx="5">
                  <c:v>33948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C2-48C8-A209-4C4C85EC295B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'08-01-2026'!$F$101:$F$106</c:f>
              <c:numCache>
                <c:formatCode>0.0000</c:formatCode>
                <c:ptCount val="6"/>
                <c:pt idx="0">
                  <c:v>12.608738999999998</c:v>
                </c:pt>
                <c:pt idx="1">
                  <c:v>31.5218475</c:v>
                </c:pt>
                <c:pt idx="2">
                  <c:v>47.282771250000003</c:v>
                </c:pt>
                <c:pt idx="3">
                  <c:v>63.043695</c:v>
                </c:pt>
                <c:pt idx="4">
                  <c:v>78.804618749999989</c:v>
                </c:pt>
                <c:pt idx="5">
                  <c:v>94.565542500000006</c:v>
                </c:pt>
              </c:numCache>
            </c:numRef>
          </c:xVal>
          <c:yVal>
            <c:numRef>
              <c:f>'08-01-2026'!$G$101:$G$106</c:f>
              <c:numCache>
                <c:formatCode>General</c:formatCode>
                <c:ptCount val="6"/>
                <c:pt idx="0">
                  <c:v>4385</c:v>
                </c:pt>
                <c:pt idx="1">
                  <c:v>11341</c:v>
                </c:pt>
                <c:pt idx="2">
                  <c:v>16436</c:v>
                </c:pt>
                <c:pt idx="3">
                  <c:v>22247</c:v>
                </c:pt>
                <c:pt idx="4">
                  <c:v>27881</c:v>
                </c:pt>
                <c:pt idx="5">
                  <c:v>33948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AC2-48C8-A209-4C4C85EC2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3412496"/>
        <c:axId val="1713406512"/>
      </c:scatterChart>
      <c:valAx>
        <c:axId val="1713412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3406512"/>
        <c:crosses val="autoZero"/>
        <c:crossBetween val="midCat"/>
      </c:valAx>
      <c:valAx>
        <c:axId val="17134065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3412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5978087225576624"/>
                  <c:y val="-8.78098730528882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'08-01-2026'!$F$22:$F$27</c:f>
              <c:numCache>
                <c:formatCode>0.0000</c:formatCode>
                <c:ptCount val="6"/>
                <c:pt idx="0">
                  <c:v>26.804250000000007</c:v>
                </c:pt>
                <c:pt idx="1">
                  <c:v>67.01062499999999</c:v>
                </c:pt>
                <c:pt idx="2">
                  <c:v>100.51593750000001</c:v>
                </c:pt>
                <c:pt idx="3">
                  <c:v>134.02124999999998</c:v>
                </c:pt>
                <c:pt idx="4">
                  <c:v>167.52656250000001</c:v>
                </c:pt>
                <c:pt idx="5">
                  <c:v>201.03187500000001</c:v>
                </c:pt>
              </c:numCache>
            </c:numRef>
          </c:xVal>
          <c:yVal>
            <c:numRef>
              <c:f>'08-01-2026'!$H$22:$H$27</c:f>
              <c:numCache>
                <c:formatCode>General</c:formatCode>
                <c:ptCount val="6"/>
                <c:pt idx="0">
                  <c:v>2854</c:v>
                </c:pt>
                <c:pt idx="1">
                  <c:v>7105</c:v>
                </c:pt>
                <c:pt idx="2">
                  <c:v>10269</c:v>
                </c:pt>
                <c:pt idx="3">
                  <c:v>13215</c:v>
                </c:pt>
                <c:pt idx="4">
                  <c:v>17100</c:v>
                </c:pt>
                <c:pt idx="5">
                  <c:v>20838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29-4BB5-966F-171E101C3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3413040"/>
        <c:axId val="1713405968"/>
      </c:scatterChart>
      <c:valAx>
        <c:axId val="1713413040"/>
        <c:scaling>
          <c:orientation val="minMax"/>
        </c:scaling>
        <c:delete val="0"/>
        <c:axPos val="b"/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3405968"/>
        <c:crosses val="autoZero"/>
        <c:crossBetween val="midCat"/>
      </c:valAx>
      <c:valAx>
        <c:axId val="1713405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3413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66675</xdr:colOff>
      <xdr:row>6</xdr:row>
      <xdr:rowOff>104775</xdr:rowOff>
    </xdr:from>
    <xdr:to>
      <xdr:col>12</xdr:col>
      <xdr:colOff>1495424</xdr:colOff>
      <xdr:row>8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038225"/>
          <a:ext cx="1428749" cy="40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652462</xdr:colOff>
      <xdr:row>33</xdr:row>
      <xdr:rowOff>4762</xdr:rowOff>
    </xdr:from>
    <xdr:to>
      <xdr:col>12</xdr:col>
      <xdr:colOff>1238250</xdr:colOff>
      <xdr:row>43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609600</xdr:colOff>
      <xdr:row>46</xdr:row>
      <xdr:rowOff>19050</xdr:rowOff>
    </xdr:from>
    <xdr:to>
      <xdr:col>12</xdr:col>
      <xdr:colOff>1333500</xdr:colOff>
      <xdr:row>57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619125</xdr:colOff>
      <xdr:row>57</xdr:row>
      <xdr:rowOff>171450</xdr:rowOff>
    </xdr:from>
    <xdr:to>
      <xdr:col>12</xdr:col>
      <xdr:colOff>1343025</xdr:colOff>
      <xdr:row>69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714375</xdr:colOff>
      <xdr:row>72</xdr:row>
      <xdr:rowOff>180975</xdr:rowOff>
    </xdr:from>
    <xdr:to>
      <xdr:col>12</xdr:col>
      <xdr:colOff>1438275</xdr:colOff>
      <xdr:row>84</xdr:row>
      <xdr:rowOff>180975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762000</xdr:colOff>
      <xdr:row>85</xdr:row>
      <xdr:rowOff>152400</xdr:rowOff>
    </xdr:from>
    <xdr:to>
      <xdr:col>12</xdr:col>
      <xdr:colOff>1485900</xdr:colOff>
      <xdr:row>97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657225</xdr:colOff>
      <xdr:row>99</xdr:row>
      <xdr:rowOff>0</xdr:rowOff>
    </xdr:from>
    <xdr:to>
      <xdr:col>12</xdr:col>
      <xdr:colOff>1381125</xdr:colOff>
      <xdr:row>110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471487</xdr:colOff>
      <xdr:row>18</xdr:row>
      <xdr:rowOff>61912</xdr:rowOff>
    </xdr:from>
    <xdr:to>
      <xdr:col>12</xdr:col>
      <xdr:colOff>819150</xdr:colOff>
      <xdr:row>31</xdr:row>
      <xdr:rowOff>57150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PLC%20REPORTS/2025/Monomer(APB)/12.December/26-12-2025/26-12-2025_Results_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6-12-2025"/>
      <sheetName val="SA002 APB A02 54"/>
      <sheetName val="SA002-APB-A03-033 RC"/>
      <sheetName val="SA002-APB-A03-34 Carbon filter"/>
      <sheetName val="SA002-APB-A03-035 Sulphate salt"/>
      <sheetName val="SA002-APB-A03-033 Solid-1"/>
    </sheetNames>
    <sheetDataSet>
      <sheetData sheetId="0">
        <row r="115">
          <cell r="F115" t="str">
            <v>TABA</v>
          </cell>
          <cell r="G115" t="str">
            <v>4,4-DABA</v>
          </cell>
          <cell r="H115" t="str">
            <v>DAPBI</v>
          </cell>
          <cell r="I115" t="str">
            <v>2-AP 4-AB</v>
          </cell>
          <cell r="J115" t="str">
            <v>2, 4-DAPBA</v>
          </cell>
          <cell r="K115" t="str">
            <v>PABI</v>
          </cell>
          <cell r="L115" t="str">
            <v>4-BIA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4:X129"/>
  <sheetViews>
    <sheetView tabSelected="1" topLeftCell="D48" zoomScale="85" zoomScaleNormal="85" workbookViewId="0">
      <selection activeCell="G76" sqref="G76"/>
    </sheetView>
  </sheetViews>
  <sheetFormatPr defaultRowHeight="15" x14ac:dyDescent="0.25"/>
  <cols>
    <col min="2" max="2" width="13" customWidth="1"/>
    <col min="3" max="3" width="11.42578125" bestFit="1" customWidth="1"/>
    <col min="4" max="5" width="28.42578125" bestFit="1" customWidth="1"/>
    <col min="6" max="6" width="24.85546875" customWidth="1"/>
    <col min="7" max="7" width="19.42578125" customWidth="1"/>
    <col min="8" max="8" width="19.7109375" customWidth="1"/>
    <col min="9" max="9" width="16.7109375" customWidth="1"/>
    <col min="10" max="10" width="18" customWidth="1"/>
    <col min="11" max="11" width="15.7109375" customWidth="1"/>
    <col min="12" max="12" width="18.85546875" customWidth="1"/>
    <col min="13" max="13" width="23.85546875" customWidth="1"/>
    <col min="14" max="14" width="9.140625" customWidth="1"/>
    <col min="15" max="15" width="21.85546875" customWidth="1"/>
    <col min="16" max="16" width="12.85546875" customWidth="1"/>
    <col min="17" max="17" width="15.7109375" customWidth="1"/>
    <col min="18" max="18" width="13.42578125" customWidth="1"/>
    <col min="19" max="19" width="11.5703125" customWidth="1"/>
    <col min="21" max="21" width="13.7109375" customWidth="1"/>
    <col min="22" max="23" width="18.28515625" customWidth="1"/>
    <col min="24" max="24" width="16.28515625" customWidth="1"/>
  </cols>
  <sheetData>
    <row r="4" spans="5:24" ht="12.75" customHeight="1" thickBot="1" x14ac:dyDescent="0.3">
      <c r="V4" s="113" t="s">
        <v>2</v>
      </c>
      <c r="W4" s="113"/>
      <c r="X4" s="113"/>
    </row>
    <row r="5" spans="5:24" ht="15.75" hidden="1" thickBot="1" x14ac:dyDescent="0.3">
      <c r="V5" s="114"/>
      <c r="W5" s="114"/>
      <c r="X5" s="114"/>
    </row>
    <row r="6" spans="5:24" ht="15.75" thickBot="1" x14ac:dyDescent="0.3">
      <c r="E6" s="115" t="s">
        <v>6</v>
      </c>
      <c r="F6" s="116"/>
      <c r="G6" s="116"/>
      <c r="H6" s="116"/>
      <c r="I6" s="116"/>
      <c r="J6" s="116"/>
      <c r="K6" s="116"/>
      <c r="L6" s="117"/>
      <c r="M6" s="118"/>
      <c r="O6" s="121"/>
      <c r="P6" s="121"/>
      <c r="Q6" s="121"/>
      <c r="R6" s="121"/>
      <c r="S6" s="121"/>
      <c r="T6" s="121"/>
      <c r="U6" s="121"/>
      <c r="V6" s="97"/>
      <c r="W6" s="97"/>
      <c r="X6" s="97"/>
    </row>
    <row r="7" spans="5:24" ht="15.75" thickBot="1" x14ac:dyDescent="0.3">
      <c r="E7" s="99" t="s">
        <v>7</v>
      </c>
      <c r="F7" s="100"/>
      <c r="G7" s="100"/>
      <c r="H7" s="100"/>
      <c r="I7" s="100"/>
      <c r="J7" s="100"/>
      <c r="K7" s="100"/>
      <c r="L7" s="101"/>
      <c r="M7" s="119"/>
      <c r="O7" s="121"/>
      <c r="P7" s="5"/>
      <c r="Q7" s="5"/>
      <c r="R7" s="5"/>
      <c r="S7" s="5"/>
      <c r="T7" s="5"/>
      <c r="U7" s="5"/>
      <c r="V7" s="97"/>
      <c r="W7" s="97"/>
      <c r="X7" s="97"/>
    </row>
    <row r="8" spans="5:24" ht="15.75" thickBot="1" x14ac:dyDescent="0.3">
      <c r="E8" s="13" t="s">
        <v>11</v>
      </c>
      <c r="F8" s="102"/>
      <c r="G8" s="103"/>
      <c r="H8" s="103"/>
      <c r="I8" s="103"/>
      <c r="J8" s="103"/>
      <c r="K8" s="103"/>
      <c r="L8" s="104"/>
      <c r="M8" s="119"/>
      <c r="O8" s="121"/>
      <c r="P8" s="5"/>
      <c r="Q8" s="5"/>
      <c r="R8" s="5"/>
      <c r="S8" s="5"/>
      <c r="T8" s="5"/>
      <c r="U8" s="5"/>
      <c r="V8" s="97"/>
      <c r="W8" s="97"/>
      <c r="X8" s="97"/>
    </row>
    <row r="9" spans="5:24" ht="15.75" thickBot="1" x14ac:dyDescent="0.3">
      <c r="E9" s="12" t="s">
        <v>10</v>
      </c>
      <c r="F9" s="105"/>
      <c r="G9" s="106"/>
      <c r="H9" s="106"/>
      <c r="I9" s="106"/>
      <c r="J9" s="106"/>
      <c r="K9" s="106"/>
      <c r="L9" s="107"/>
      <c r="M9" s="119"/>
      <c r="O9" s="121"/>
      <c r="P9" s="5"/>
      <c r="Q9" s="5"/>
      <c r="R9" s="5"/>
      <c r="S9" s="5"/>
      <c r="T9" s="5"/>
      <c r="U9" s="5"/>
      <c r="V9" s="97"/>
      <c r="W9" s="97"/>
      <c r="X9" s="97"/>
    </row>
    <row r="10" spans="5:24" ht="21.75" customHeight="1" thickBot="1" x14ac:dyDescent="0.3">
      <c r="E10" s="12" t="s">
        <v>9</v>
      </c>
      <c r="F10" s="105" t="s">
        <v>8</v>
      </c>
      <c r="G10" s="106"/>
      <c r="H10" s="106"/>
      <c r="I10" s="106"/>
      <c r="J10" s="106"/>
      <c r="K10" s="106"/>
      <c r="L10" s="108"/>
      <c r="M10" s="120"/>
      <c r="O10" s="121"/>
      <c r="P10" s="5"/>
      <c r="Q10" s="5"/>
      <c r="R10" s="5"/>
      <c r="S10" s="5"/>
      <c r="T10" s="5"/>
      <c r="U10" s="5"/>
      <c r="V10" s="97"/>
      <c r="W10" s="97"/>
      <c r="X10" s="97"/>
    </row>
    <row r="11" spans="5:24" ht="15.75" thickBot="1" x14ac:dyDescent="0.3">
      <c r="E11" s="21" t="s">
        <v>3</v>
      </c>
      <c r="F11" s="109" t="s">
        <v>12</v>
      </c>
      <c r="G11" s="110"/>
      <c r="H11" s="110"/>
      <c r="I11" s="110"/>
      <c r="J11" s="111"/>
      <c r="K11" s="112"/>
      <c r="L11" s="14" t="s">
        <v>4</v>
      </c>
      <c r="M11" s="15">
        <v>46025</v>
      </c>
      <c r="O11" s="5"/>
      <c r="P11" s="5"/>
      <c r="Q11" s="5"/>
      <c r="R11" s="5"/>
      <c r="S11" s="5"/>
      <c r="T11" s="5"/>
      <c r="U11" s="5"/>
      <c r="V11" s="49"/>
      <c r="W11" s="49"/>
      <c r="X11" s="49"/>
    </row>
    <row r="12" spans="5:24" x14ac:dyDescent="0.25">
      <c r="E12" s="22" t="s">
        <v>13</v>
      </c>
      <c r="F12" s="48" t="s">
        <v>30</v>
      </c>
      <c r="G12" s="48" t="s">
        <v>31</v>
      </c>
      <c r="H12" s="48" t="s">
        <v>16</v>
      </c>
      <c r="I12" s="48" t="s">
        <v>32</v>
      </c>
      <c r="J12" s="28" t="s">
        <v>28</v>
      </c>
      <c r="K12" s="28" t="s">
        <v>33</v>
      </c>
      <c r="L12" s="25" t="s">
        <v>34</v>
      </c>
      <c r="M12" s="19"/>
      <c r="O12" s="5"/>
      <c r="P12" s="5"/>
      <c r="Q12" s="5"/>
      <c r="R12" s="5"/>
      <c r="S12" s="5"/>
      <c r="T12" s="5"/>
      <c r="U12" s="5"/>
      <c r="V12" s="49"/>
      <c r="W12" s="49"/>
      <c r="X12" s="49"/>
    </row>
    <row r="13" spans="5:24" x14ac:dyDescent="0.25">
      <c r="E13" s="22" t="s">
        <v>29</v>
      </c>
      <c r="F13" s="48"/>
      <c r="G13" s="23"/>
      <c r="H13" s="23"/>
      <c r="I13" s="48"/>
      <c r="J13" s="48"/>
      <c r="K13" s="48"/>
      <c r="L13" s="45"/>
      <c r="M13" s="19"/>
      <c r="O13" s="5"/>
      <c r="P13" s="5"/>
      <c r="Q13" s="5"/>
      <c r="R13" s="5"/>
      <c r="S13" s="5"/>
      <c r="T13" s="5"/>
      <c r="U13" s="5"/>
      <c r="V13" s="49"/>
      <c r="W13" s="49"/>
      <c r="X13" s="49"/>
    </row>
    <row r="14" spans="5:24" x14ac:dyDescent="0.25">
      <c r="E14" s="22" t="s">
        <v>15</v>
      </c>
      <c r="F14" s="48">
        <v>99</v>
      </c>
      <c r="G14" s="35">
        <v>98</v>
      </c>
      <c r="H14" s="35">
        <v>98</v>
      </c>
      <c r="I14" s="48">
        <v>98.63</v>
      </c>
      <c r="J14" s="48">
        <v>97.16</v>
      </c>
      <c r="K14" s="35">
        <v>97</v>
      </c>
      <c r="L14" s="35">
        <v>99.99</v>
      </c>
      <c r="M14" s="19"/>
      <c r="O14" s="5"/>
      <c r="P14" s="5"/>
      <c r="Q14" s="5"/>
      <c r="R14" s="5"/>
      <c r="S14" s="5"/>
      <c r="T14" s="5"/>
      <c r="U14" s="5"/>
      <c r="V14" s="49"/>
      <c r="W14" s="49"/>
      <c r="X14" s="49"/>
    </row>
    <row r="15" spans="5:24" x14ac:dyDescent="0.25">
      <c r="E15" s="22" t="s">
        <v>14</v>
      </c>
      <c r="F15" s="48">
        <v>10.83</v>
      </c>
      <c r="G15" s="48">
        <v>10.68</v>
      </c>
      <c r="H15" s="48">
        <v>10.42</v>
      </c>
      <c r="I15" s="48">
        <v>10.56</v>
      </c>
      <c r="J15" s="48">
        <v>10.35</v>
      </c>
      <c r="K15" s="48">
        <v>12.49</v>
      </c>
      <c r="L15" s="48">
        <v>12.61</v>
      </c>
      <c r="M15" s="19"/>
      <c r="O15" s="5"/>
      <c r="P15" s="5"/>
      <c r="Q15" s="5"/>
      <c r="R15" s="5"/>
      <c r="S15" s="5"/>
      <c r="T15" s="5"/>
      <c r="U15" s="5"/>
      <c r="V15" s="49"/>
      <c r="W15" s="49"/>
      <c r="X15" s="49"/>
    </row>
    <row r="16" spans="5:24" x14ac:dyDescent="0.25">
      <c r="E16" s="22" t="s">
        <v>19</v>
      </c>
      <c r="F16" s="48">
        <v>20</v>
      </c>
      <c r="G16" s="48">
        <v>20</v>
      </c>
      <c r="H16" s="48">
        <v>20</v>
      </c>
      <c r="I16" s="48">
        <v>20</v>
      </c>
      <c r="J16" s="48">
        <v>20</v>
      </c>
      <c r="K16" s="48">
        <v>20</v>
      </c>
      <c r="L16" s="48">
        <v>20</v>
      </c>
      <c r="M16" s="19"/>
      <c r="O16" s="5"/>
      <c r="P16" s="5"/>
      <c r="Q16" s="5"/>
      <c r="R16" s="5"/>
      <c r="S16" s="5"/>
      <c r="T16" s="5"/>
      <c r="U16" s="5"/>
      <c r="V16" s="49"/>
      <c r="W16" s="49"/>
      <c r="X16" s="49"/>
    </row>
    <row r="17" spans="3:24" x14ac:dyDescent="0.25">
      <c r="E17" s="22" t="s">
        <v>20</v>
      </c>
      <c r="F17" s="48">
        <v>2.5</v>
      </c>
      <c r="G17" s="48">
        <v>2.5</v>
      </c>
      <c r="H17" s="48">
        <v>2.5</v>
      </c>
      <c r="I17" s="48">
        <v>2.5</v>
      </c>
      <c r="J17" s="48">
        <v>5</v>
      </c>
      <c r="K17" s="48">
        <v>1</v>
      </c>
      <c r="L17" s="48">
        <v>1</v>
      </c>
      <c r="M17" s="19"/>
      <c r="O17" s="5"/>
      <c r="P17" s="5"/>
      <c r="Q17" s="5"/>
      <c r="R17" s="5"/>
      <c r="S17" s="5"/>
      <c r="T17" s="5"/>
      <c r="U17" s="5"/>
      <c r="V17" s="49"/>
      <c r="W17" s="49"/>
      <c r="X17" s="49"/>
    </row>
    <row r="18" spans="3:24" x14ac:dyDescent="0.25">
      <c r="E18" s="22" t="s">
        <v>21</v>
      </c>
      <c r="F18" s="48">
        <v>100</v>
      </c>
      <c r="G18" s="48">
        <v>100</v>
      </c>
      <c r="H18" s="48">
        <v>100</v>
      </c>
      <c r="I18" s="48">
        <v>100</v>
      </c>
      <c r="J18" s="48">
        <v>100</v>
      </c>
      <c r="K18" s="48">
        <v>100</v>
      </c>
      <c r="L18" s="48">
        <v>100</v>
      </c>
      <c r="M18" s="19"/>
      <c r="O18" s="5"/>
      <c r="P18" s="5"/>
      <c r="Q18" s="5"/>
      <c r="R18" s="5"/>
      <c r="S18" s="5"/>
      <c r="T18" s="5"/>
      <c r="U18" s="5"/>
      <c r="V18" s="49"/>
      <c r="W18" s="49"/>
      <c r="X18" s="49"/>
    </row>
    <row r="19" spans="3:24" x14ac:dyDescent="0.25">
      <c r="E19" s="16"/>
      <c r="F19" s="20"/>
      <c r="G19" s="11"/>
      <c r="H19" s="11"/>
      <c r="I19" s="11"/>
      <c r="J19" s="11"/>
      <c r="K19" s="11"/>
      <c r="L19" s="11"/>
      <c r="M19" s="29"/>
      <c r="O19" s="5"/>
      <c r="P19" s="5"/>
      <c r="Q19" s="5"/>
      <c r="R19" s="5"/>
      <c r="S19" s="5"/>
      <c r="T19" s="5"/>
      <c r="U19" s="5"/>
      <c r="V19" s="49"/>
      <c r="W19" s="49"/>
      <c r="X19" s="49"/>
    </row>
    <row r="20" spans="3:24" x14ac:dyDescent="0.25">
      <c r="E20" s="16"/>
      <c r="F20" s="17"/>
      <c r="G20" s="18"/>
      <c r="H20" s="18"/>
      <c r="I20" s="18"/>
      <c r="J20" s="18"/>
      <c r="K20" s="18"/>
      <c r="L20" s="11"/>
      <c r="M20" s="29"/>
      <c r="O20" s="5"/>
      <c r="P20" s="5"/>
      <c r="Q20" s="5"/>
      <c r="R20" s="5"/>
      <c r="S20" s="5"/>
      <c r="T20" s="5"/>
      <c r="U20" s="5"/>
      <c r="V20" s="49"/>
      <c r="W20" s="49"/>
      <c r="X20" s="49"/>
    </row>
    <row r="21" spans="3:24" ht="31.5" customHeight="1" x14ac:dyDescent="0.25">
      <c r="E21" s="22" t="str">
        <f>F12</f>
        <v>TABA</v>
      </c>
      <c r="F21" s="24" t="s">
        <v>44</v>
      </c>
      <c r="G21" s="24" t="s">
        <v>17</v>
      </c>
      <c r="H21" s="24" t="s">
        <v>18</v>
      </c>
      <c r="I21" s="24" t="s">
        <v>5</v>
      </c>
      <c r="J21" s="18"/>
      <c r="K21" s="18"/>
      <c r="L21" s="11"/>
      <c r="M21" s="29"/>
      <c r="O21" s="5"/>
      <c r="P21" s="5"/>
      <c r="Q21" s="5"/>
      <c r="R21" s="5"/>
      <c r="S21" s="5"/>
      <c r="T21" s="5"/>
      <c r="U21" s="5"/>
      <c r="V21" s="49"/>
      <c r="W21" s="49"/>
      <c r="X21" s="49"/>
    </row>
    <row r="22" spans="3:24" ht="24.75" customHeight="1" x14ac:dyDescent="0.25">
      <c r="C22" s="7">
        <f>$F$15/$F$16*2.5/100*0.2/25*1/4*$F$14/100*100</f>
        <v>2.6804250000000006E-3</v>
      </c>
      <c r="D22" s="1">
        <f>C22*3.3/10</f>
        <v>8.8454025000000015E-4</v>
      </c>
      <c r="E22" s="48" t="s">
        <v>27</v>
      </c>
      <c r="F22" s="7">
        <f>$F$15/$F$16*2.5/100*0.2/25*1/4*$F$14/100*1000000</f>
        <v>26.804250000000007</v>
      </c>
      <c r="G22" s="48">
        <v>2854</v>
      </c>
      <c r="H22" s="48">
        <v>2854</v>
      </c>
      <c r="I22" s="44">
        <f>(G22+H22)/2</f>
        <v>2854</v>
      </c>
      <c r="J22" s="18"/>
      <c r="K22" s="18"/>
      <c r="L22" s="11"/>
      <c r="M22" s="29"/>
      <c r="O22" s="5"/>
      <c r="P22" s="5"/>
      <c r="Q22" s="5"/>
      <c r="R22" s="5"/>
      <c r="S22" s="5"/>
      <c r="T22" s="5"/>
      <c r="U22" s="5"/>
      <c r="V22" s="49"/>
      <c r="W22" s="49"/>
      <c r="X22" s="49"/>
    </row>
    <row r="23" spans="3:24" x14ac:dyDescent="0.25">
      <c r="C23" s="7">
        <f>$F$15/$F$16*$F$17/$F$18*0.5/25*1/4*$F$14/100*100</f>
        <v>6.7010624999999996E-3</v>
      </c>
      <c r="E23" s="48" t="s">
        <v>22</v>
      </c>
      <c r="F23" s="7">
        <f>$F$15/$F$16*$F$17/$F$18*0.5/25*1/4*$F$14/100*1000000</f>
        <v>67.01062499999999</v>
      </c>
      <c r="G23" s="48">
        <v>7105</v>
      </c>
      <c r="H23" s="48">
        <v>7105</v>
      </c>
      <c r="I23" s="44">
        <f t="shared" ref="I23:I27" si="0">(G23+H23)/2</f>
        <v>7105</v>
      </c>
      <c r="J23" s="18"/>
      <c r="K23" s="18"/>
      <c r="L23" s="11"/>
      <c r="M23" s="29"/>
      <c r="O23" s="5"/>
      <c r="P23" s="5"/>
      <c r="Q23" s="5"/>
      <c r="R23" s="5"/>
      <c r="S23" s="5"/>
      <c r="T23" s="5"/>
      <c r="U23" s="5"/>
      <c r="V23" s="49"/>
      <c r="W23" s="49"/>
      <c r="X23" s="49"/>
    </row>
    <row r="24" spans="3:24" x14ac:dyDescent="0.25">
      <c r="C24" s="7">
        <f>$F$15/$F$16*$F$17/$F$18*0.75/25*1/4*$F$14/100*100</f>
        <v>1.0051593750000001E-2</v>
      </c>
      <c r="E24" s="48" t="s">
        <v>23</v>
      </c>
      <c r="F24" s="7">
        <f>$F$15/$F$16*$F$17/$F$18*0.75/25*1/4*$F$14/100*1000000</f>
        <v>100.51593750000001</v>
      </c>
      <c r="G24" s="48">
        <v>10269</v>
      </c>
      <c r="H24" s="48">
        <v>10269</v>
      </c>
      <c r="I24" s="44">
        <f t="shared" si="0"/>
        <v>10269</v>
      </c>
      <c r="J24" s="18"/>
      <c r="K24" s="18"/>
      <c r="L24" s="11"/>
      <c r="M24" s="29"/>
      <c r="O24" s="5"/>
      <c r="P24" s="5"/>
      <c r="Q24" s="5"/>
      <c r="R24" s="5"/>
      <c r="S24" s="5"/>
      <c r="T24" s="5"/>
      <c r="U24" s="5"/>
      <c r="V24" s="49"/>
      <c r="W24" s="49"/>
      <c r="X24" s="49"/>
    </row>
    <row r="25" spans="3:24" x14ac:dyDescent="0.25">
      <c r="C25" s="7">
        <f>$F$15/$F$16*$F$17/$F$18*1/25*1/4*$F$14/100*100</f>
        <v>1.3402124999999999E-2</v>
      </c>
      <c r="E25" s="48" t="s">
        <v>24</v>
      </c>
      <c r="F25" s="7">
        <f>$F$15/$F$16*$F$17/$F$18*1/25*1/4*$F$14/100*1000000</f>
        <v>134.02124999999998</v>
      </c>
      <c r="G25" s="48">
        <v>13215</v>
      </c>
      <c r="H25" s="48">
        <v>13215</v>
      </c>
      <c r="I25" s="44">
        <f t="shared" si="0"/>
        <v>13215</v>
      </c>
      <c r="J25" s="18"/>
      <c r="K25" s="18"/>
      <c r="L25" s="11"/>
      <c r="M25" s="29"/>
      <c r="O25" s="5"/>
      <c r="P25" s="5"/>
      <c r="Q25" s="5"/>
      <c r="R25" s="5"/>
      <c r="S25" s="5"/>
      <c r="T25" s="5"/>
      <c r="U25" s="5"/>
      <c r="V25" s="49"/>
      <c r="W25" s="49"/>
      <c r="X25" s="49"/>
    </row>
    <row r="26" spans="3:24" x14ac:dyDescent="0.25">
      <c r="C26" s="7">
        <f>$F$15/$F$16*$F$17/$F$18*1.25/25*1/4*$F$14/100*100</f>
        <v>1.6752656250000001E-2</v>
      </c>
      <c r="E26" s="48" t="s">
        <v>25</v>
      </c>
      <c r="F26" s="7">
        <f>$F$15/$F$16*$F$17/$F$18*1.25/25*1/4*$F$14/100*1000000</f>
        <v>167.52656250000001</v>
      </c>
      <c r="G26" s="48">
        <v>17100</v>
      </c>
      <c r="H26" s="48">
        <v>17100</v>
      </c>
      <c r="I26" s="44">
        <f t="shared" si="0"/>
        <v>17100</v>
      </c>
      <c r="J26" s="18"/>
      <c r="K26" s="18"/>
      <c r="L26" s="11"/>
      <c r="M26" s="29"/>
      <c r="O26" s="5"/>
      <c r="P26" s="5"/>
      <c r="Q26" s="5"/>
      <c r="R26" s="5"/>
      <c r="S26" s="5"/>
      <c r="T26" s="5"/>
      <c r="U26" s="5"/>
      <c r="V26" s="49"/>
      <c r="W26" s="49"/>
      <c r="X26" s="49"/>
    </row>
    <row r="27" spans="3:24" x14ac:dyDescent="0.25">
      <c r="C27" s="7">
        <f>$F$15/$F$16*$F$17/$F$18*1.5/25*1/4*$F$14/100*100</f>
        <v>2.0103187500000001E-2</v>
      </c>
      <c r="E27" s="48" t="s">
        <v>26</v>
      </c>
      <c r="F27" s="7">
        <f>$F$15/$F$16*$F$17/$F$18*1.5/25*1/4*$F$14/100*1000000</f>
        <v>201.03187500000001</v>
      </c>
      <c r="G27" s="48">
        <v>20838</v>
      </c>
      <c r="H27" s="48">
        <v>20838</v>
      </c>
      <c r="I27" s="44">
        <f t="shared" si="0"/>
        <v>20838</v>
      </c>
      <c r="J27" s="18"/>
      <c r="K27" s="18"/>
      <c r="L27" s="11"/>
      <c r="M27" s="29"/>
      <c r="O27" s="5"/>
      <c r="P27" s="5"/>
      <c r="Q27" s="5"/>
      <c r="R27" s="5"/>
      <c r="S27" s="5"/>
      <c r="T27" s="5"/>
      <c r="U27" s="5"/>
      <c r="V27" s="49"/>
      <c r="W27" s="49"/>
      <c r="X27" s="49"/>
    </row>
    <row r="28" spans="3:24" x14ac:dyDescent="0.25">
      <c r="E28" s="96" t="s">
        <v>39</v>
      </c>
      <c r="F28" s="96"/>
      <c r="G28" s="96"/>
      <c r="H28" s="96"/>
      <c r="I28" s="37">
        <f>CORREL(F22:F27,I22:I27)</f>
        <v>0.99909655884407811</v>
      </c>
      <c r="J28" s="30"/>
      <c r="K28" s="30"/>
      <c r="L28" s="30"/>
      <c r="M28" s="30"/>
      <c r="N28" s="30"/>
      <c r="O28" s="30"/>
      <c r="P28" s="97"/>
      <c r="Q28" s="97"/>
      <c r="R28" s="97"/>
      <c r="S28" s="97"/>
      <c r="T28" s="97"/>
      <c r="U28" s="97"/>
      <c r="V28" s="1"/>
      <c r="W28" s="5"/>
      <c r="X28" s="2"/>
    </row>
    <row r="29" spans="3:24" x14ac:dyDescent="0.25">
      <c r="E29" s="96" t="s">
        <v>0</v>
      </c>
      <c r="F29" s="96"/>
      <c r="G29" s="96"/>
      <c r="H29" s="96"/>
      <c r="I29" s="37">
        <f>I28*I28</f>
        <v>0.9981939338940784</v>
      </c>
      <c r="J29" s="26"/>
      <c r="K29" s="11"/>
      <c r="L29" s="26"/>
      <c r="M29" s="11"/>
      <c r="N29" s="26"/>
      <c r="O29" s="11"/>
      <c r="P29" s="97"/>
      <c r="Q29" s="97"/>
      <c r="R29" s="97"/>
      <c r="S29" s="97"/>
      <c r="T29" s="97"/>
      <c r="U29" s="97"/>
      <c r="V29" s="3"/>
      <c r="W29" s="5"/>
      <c r="X29" s="2"/>
    </row>
    <row r="30" spans="3:24" x14ac:dyDescent="0.25">
      <c r="E30" s="96" t="s">
        <v>1</v>
      </c>
      <c r="F30" s="96"/>
      <c r="G30" s="96"/>
      <c r="H30" s="96"/>
      <c r="I30" s="36">
        <f>SLOPE(I22:I27,F22:F27)</f>
        <v>101.83191313146074</v>
      </c>
      <c r="J30" s="26"/>
      <c r="K30" s="11"/>
      <c r="L30" s="26"/>
      <c r="M30" s="11"/>
      <c r="N30" s="26"/>
      <c r="O30" s="11"/>
      <c r="P30" s="97"/>
      <c r="Q30" s="97"/>
      <c r="R30" s="97"/>
      <c r="S30" s="97"/>
      <c r="T30" s="97"/>
      <c r="U30" s="97"/>
      <c r="V30" s="3"/>
      <c r="W30" s="5"/>
      <c r="X30" s="2"/>
    </row>
    <row r="31" spans="3:24" x14ac:dyDescent="0.25">
      <c r="E31" s="96" t="s">
        <v>37</v>
      </c>
      <c r="F31" s="96"/>
      <c r="G31" s="96"/>
      <c r="H31" s="96"/>
      <c r="I31" s="37">
        <f>INTERCEPT(I22:I27,F22:F27)</f>
        <v>68.878417266190809</v>
      </c>
      <c r="J31" s="26"/>
      <c r="K31" s="11"/>
      <c r="L31" s="26"/>
      <c r="M31" s="11"/>
      <c r="N31" s="26"/>
      <c r="O31" s="11"/>
      <c r="V31" s="3"/>
      <c r="W31" s="5"/>
      <c r="X31" s="2"/>
    </row>
    <row r="32" spans="3:24" x14ac:dyDescent="0.25">
      <c r="E32" s="96" t="s">
        <v>38</v>
      </c>
      <c r="F32" s="96"/>
      <c r="G32" s="96"/>
      <c r="H32" s="96"/>
      <c r="I32" s="32">
        <f>I31/I25*100</f>
        <v>0.52121390288453129</v>
      </c>
      <c r="J32" s="26"/>
      <c r="K32" s="11"/>
      <c r="L32" s="26"/>
      <c r="M32" s="11"/>
      <c r="N32" s="26"/>
      <c r="O32" s="11"/>
      <c r="V32" s="3"/>
      <c r="W32" s="5"/>
      <c r="X32" s="2"/>
    </row>
    <row r="33" spans="2:18" x14ac:dyDescent="0.25">
      <c r="J33" s="26"/>
      <c r="K33" s="11"/>
      <c r="L33" s="26"/>
      <c r="M33" s="11"/>
      <c r="N33" s="26"/>
      <c r="O33" s="11"/>
    </row>
    <row r="34" spans="2:18" x14ac:dyDescent="0.25">
      <c r="E34" s="22" t="str">
        <f>G12</f>
        <v>4,4-DABA</v>
      </c>
      <c r="F34" s="24" t="s">
        <v>44</v>
      </c>
      <c r="G34" s="24" t="s">
        <v>17</v>
      </c>
      <c r="H34" s="24" t="s">
        <v>18</v>
      </c>
      <c r="I34" s="24" t="s">
        <v>5</v>
      </c>
      <c r="J34" s="26"/>
      <c r="K34" s="11"/>
      <c r="L34" s="26"/>
      <c r="M34" s="11"/>
      <c r="N34" s="26"/>
      <c r="O34" s="11"/>
    </row>
    <row r="35" spans="2:18" x14ac:dyDescent="0.25">
      <c r="C35" s="7">
        <f>$G$15/$G$16*2.5/100*0.2/25*1/4*$G$14/100*100</f>
        <v>2.6166000000000002E-3</v>
      </c>
      <c r="E35" s="48" t="s">
        <v>27</v>
      </c>
      <c r="F35" s="7">
        <f>$G$15/$G$16*2.5/100*0.2/25*1/4*$G$14/100*1000000</f>
        <v>26.166000000000004</v>
      </c>
      <c r="G35" s="48">
        <v>4793</v>
      </c>
      <c r="H35" s="48">
        <v>4793</v>
      </c>
      <c r="I35" s="44">
        <f>(G35+H35)/2</f>
        <v>4793</v>
      </c>
      <c r="J35" s="26"/>
      <c r="K35" s="11"/>
      <c r="L35" s="26"/>
      <c r="M35" s="11"/>
      <c r="N35" s="26"/>
      <c r="O35" s="11"/>
    </row>
    <row r="36" spans="2:18" x14ac:dyDescent="0.25">
      <c r="C36" s="7">
        <f>$G$15/$G$16*$G$17/$G$18*0.5/25*1/4*$G$14/100*100</f>
        <v>6.5414999999999996E-3</v>
      </c>
      <c r="E36" s="48" t="s">
        <v>22</v>
      </c>
      <c r="F36" s="7">
        <f>$G$15/$G$16*$G$17/$G$18*0.5/25*1/4*$G$14/100*1000000</f>
        <v>65.414999999999992</v>
      </c>
      <c r="G36" s="48">
        <v>12245</v>
      </c>
      <c r="H36" s="48">
        <v>12245</v>
      </c>
      <c r="I36" s="44">
        <f t="shared" ref="I36:I40" si="1">(G36+H36)/2</f>
        <v>12245</v>
      </c>
      <c r="J36" s="26"/>
      <c r="K36" s="26"/>
      <c r="L36" s="26"/>
      <c r="M36" s="26"/>
      <c r="N36" s="26"/>
      <c r="O36" s="26"/>
      <c r="P36" s="97"/>
      <c r="Q36" s="97"/>
      <c r="R36" s="97"/>
    </row>
    <row r="37" spans="2:18" x14ac:dyDescent="0.25">
      <c r="C37" s="7">
        <f>$G$15/$G$16*$G$17/$G$18*0.75/25*1/4*$G$14/100*100</f>
        <v>9.8122499999999998E-3</v>
      </c>
      <c r="E37" s="48" t="s">
        <v>23</v>
      </c>
      <c r="F37" s="7">
        <f>$G$15/$G$16*$G$17/$G$18*0.75/25*1/4*$G$14/100*1000000</f>
        <v>98.122500000000002</v>
      </c>
      <c r="G37" s="48">
        <v>18007</v>
      </c>
      <c r="H37" s="48">
        <v>18007</v>
      </c>
      <c r="I37" s="44">
        <f t="shared" si="1"/>
        <v>18007</v>
      </c>
      <c r="J37" s="26"/>
      <c r="K37" s="26"/>
      <c r="L37" s="26"/>
      <c r="M37" s="26"/>
      <c r="N37" s="26"/>
      <c r="O37" s="26"/>
      <c r="P37" s="97"/>
      <c r="Q37" s="97"/>
      <c r="R37" s="97"/>
    </row>
    <row r="38" spans="2:18" x14ac:dyDescent="0.25">
      <c r="C38" s="7">
        <f>$G$15/$G$16*$G$17/$G$18*1/25*1/4*$G$14/100*100</f>
        <v>1.3082999999999999E-2</v>
      </c>
      <c r="E38" s="48" t="s">
        <v>24</v>
      </c>
      <c r="F38" s="7">
        <f>$G$15/$G$16*$G$17/$G$18*1/25*1/4*$G$14/100*1000000</f>
        <v>130.82999999999998</v>
      </c>
      <c r="G38" s="48">
        <v>23481</v>
      </c>
      <c r="H38" s="48">
        <v>23481</v>
      </c>
      <c r="I38" s="44">
        <f t="shared" si="1"/>
        <v>23481</v>
      </c>
      <c r="J38" s="26"/>
      <c r="K38" s="27"/>
      <c r="L38" s="26"/>
      <c r="M38" s="27"/>
      <c r="N38" s="26"/>
      <c r="O38" s="27"/>
      <c r="P38" s="98"/>
      <c r="Q38" s="97"/>
      <c r="R38" s="97"/>
    </row>
    <row r="39" spans="2:18" x14ac:dyDescent="0.25">
      <c r="C39" s="7">
        <f>$G$15/$G$16*$G$17/$G$18*1.25/25*1/4*$G$14/100*100</f>
        <v>1.6353749999999997E-2</v>
      </c>
      <c r="E39" s="48" t="s">
        <v>25</v>
      </c>
      <c r="F39" s="7">
        <f>$G$15/$G$16*$G$17/$G$18*1.25/25*1/4*$G$14/100*1000000</f>
        <v>163.53749999999997</v>
      </c>
      <c r="G39" s="48">
        <v>29347</v>
      </c>
      <c r="H39" s="48">
        <v>29347</v>
      </c>
      <c r="I39" s="44">
        <f t="shared" si="1"/>
        <v>29347</v>
      </c>
      <c r="J39" s="26"/>
      <c r="K39" s="11"/>
      <c r="L39" s="26"/>
      <c r="M39" s="11"/>
      <c r="N39" s="26"/>
      <c r="O39" s="11"/>
      <c r="P39" s="98"/>
      <c r="Q39" s="97"/>
      <c r="R39" s="97"/>
    </row>
    <row r="40" spans="2:18" x14ac:dyDescent="0.25">
      <c r="C40" s="7">
        <f>$G$15/$G$16*$G$17/$G$18*1.5/25*1/4*$G$14/100*100</f>
        <v>1.96245E-2</v>
      </c>
      <c r="E40" s="48" t="s">
        <v>26</v>
      </c>
      <c r="F40" s="7">
        <f>$G$15/$G$16*$G$17/$G$18*1.5/25*1/4*$G$14/100*1000000</f>
        <v>196.245</v>
      </c>
      <c r="G40" s="48">
        <v>36043</v>
      </c>
      <c r="H40" s="48">
        <v>36043</v>
      </c>
      <c r="I40" s="44">
        <f t="shared" si="1"/>
        <v>36043</v>
      </c>
      <c r="J40" s="11"/>
      <c r="K40" s="11"/>
      <c r="L40" s="11"/>
      <c r="M40" s="11"/>
      <c r="P40" s="3"/>
      <c r="Q40" s="5"/>
      <c r="R40" s="2"/>
    </row>
    <row r="41" spans="2:18" x14ac:dyDescent="0.25">
      <c r="E41" s="96" t="s">
        <v>39</v>
      </c>
      <c r="F41" s="96"/>
      <c r="G41" s="96"/>
      <c r="H41" s="96"/>
      <c r="I41" s="33">
        <f>CORREL(F35:F40,I35:I40)</f>
        <v>0.99961205737701397</v>
      </c>
      <c r="J41" s="11"/>
      <c r="K41" s="11"/>
      <c r="L41" s="11"/>
      <c r="M41" s="11"/>
      <c r="P41" s="3"/>
      <c r="Q41" s="3"/>
      <c r="R41" s="2"/>
    </row>
    <row r="42" spans="2:18" x14ac:dyDescent="0.25">
      <c r="E42" s="96" t="s">
        <v>0</v>
      </c>
      <c r="F42" s="96"/>
      <c r="G42" s="96"/>
      <c r="H42" s="96"/>
      <c r="I42" s="33">
        <f>I41*I41</f>
        <v>0.99922426525350672</v>
      </c>
      <c r="J42" s="11"/>
      <c r="K42" s="11"/>
      <c r="L42" s="11"/>
      <c r="M42" s="11"/>
      <c r="P42" s="3"/>
      <c r="Q42" s="4"/>
      <c r="R42" s="2"/>
    </row>
    <row r="43" spans="2:18" x14ac:dyDescent="0.25">
      <c r="E43" s="96" t="s">
        <v>1</v>
      </c>
      <c r="F43" s="96"/>
      <c r="G43" s="96"/>
      <c r="H43" s="96"/>
      <c r="I43" s="34">
        <f>SLOPE(I35:I40,F35:F40)</f>
        <v>180.94809179026876</v>
      </c>
      <c r="J43" s="10"/>
      <c r="K43" s="10"/>
      <c r="L43" s="10"/>
      <c r="M43" s="10"/>
    </row>
    <row r="44" spans="2:18" x14ac:dyDescent="0.25">
      <c r="E44" s="96" t="s">
        <v>37</v>
      </c>
      <c r="F44" s="96"/>
      <c r="G44" s="96"/>
      <c r="H44" s="96"/>
      <c r="I44" s="33">
        <f>INTERCEPT(I35:I40,F35:F40)</f>
        <v>135.68633093525204</v>
      </c>
      <c r="J44" s="10"/>
      <c r="K44" s="10"/>
      <c r="L44" s="10"/>
      <c r="M44" s="10"/>
    </row>
    <row r="45" spans="2:18" x14ac:dyDescent="0.25">
      <c r="E45" s="96" t="s">
        <v>38</v>
      </c>
      <c r="F45" s="96"/>
      <c r="G45" s="96"/>
      <c r="H45" s="96"/>
      <c r="I45" s="32">
        <f>I44/I38*100</f>
        <v>0.57785584487565278</v>
      </c>
      <c r="J45" s="10"/>
      <c r="K45" s="10"/>
      <c r="L45" s="10"/>
      <c r="M45" s="10"/>
    </row>
    <row r="46" spans="2:18" ht="32.25" customHeight="1" x14ac:dyDescent="0.25">
      <c r="B46" s="42"/>
      <c r="E46" s="9"/>
      <c r="F46" s="10"/>
      <c r="G46" s="10"/>
      <c r="H46" s="10"/>
      <c r="I46" s="10"/>
      <c r="J46" s="10"/>
      <c r="K46" s="10"/>
      <c r="L46" s="10"/>
      <c r="M46" s="10"/>
    </row>
    <row r="47" spans="2:18" ht="33" customHeight="1" x14ac:dyDescent="0.25">
      <c r="B47" s="7"/>
      <c r="C47" s="7"/>
      <c r="E47" s="22" t="str">
        <f>H12</f>
        <v>DAPBI</v>
      </c>
      <c r="F47" s="24" t="s">
        <v>44</v>
      </c>
      <c r="G47" s="24" t="s">
        <v>17</v>
      </c>
      <c r="H47" s="24" t="s">
        <v>18</v>
      </c>
      <c r="I47" s="24" t="s">
        <v>5</v>
      </c>
      <c r="J47" s="10"/>
      <c r="K47" s="10"/>
      <c r="L47" s="10"/>
      <c r="M47" s="10"/>
    </row>
    <row r="48" spans="2:18" x14ac:dyDescent="0.25">
      <c r="B48" s="7"/>
      <c r="C48" s="7">
        <f>$H$15/$H$16*2.5/100*0.2/25*1/4*$H$14/100*100</f>
        <v>2.5528999999999999E-3</v>
      </c>
      <c r="E48" s="48" t="s">
        <v>27</v>
      </c>
      <c r="F48" s="7">
        <f>$H$15/$H$16*2.5/100*0.2/25*1/4*$H$14/100*1000000</f>
        <v>25.529</v>
      </c>
      <c r="G48" s="48">
        <v>4990</v>
      </c>
      <c r="H48" s="48">
        <v>4990</v>
      </c>
      <c r="I48" s="44">
        <f>(G48+H48)/2</f>
        <v>4990</v>
      </c>
      <c r="J48" s="10"/>
      <c r="K48" s="10"/>
      <c r="L48" s="10"/>
      <c r="M48" s="10"/>
    </row>
    <row r="49" spans="2:15" x14ac:dyDescent="0.25">
      <c r="B49" s="7"/>
      <c r="C49" s="7">
        <f>$H$15/$H$16*$H$17/$H$18*0.5/25*1/4*$H$14/100*100</f>
        <v>6.382249999999999E-3</v>
      </c>
      <c r="E49" s="48" t="s">
        <v>22</v>
      </c>
      <c r="F49" s="7">
        <f>$H$15/$H$16*$H$17/$H$18*0.5/25*1/4*$H$14/100*1000000</f>
        <v>63.822499999999991</v>
      </c>
      <c r="G49" s="48">
        <v>10887</v>
      </c>
      <c r="H49" s="48">
        <v>10887</v>
      </c>
      <c r="I49" s="44">
        <f t="shared" ref="I49:I53" si="2">(G49+H49)/2</f>
        <v>10887</v>
      </c>
      <c r="J49" s="10"/>
      <c r="K49" s="10"/>
      <c r="L49" s="10"/>
      <c r="M49" s="10"/>
    </row>
    <row r="50" spans="2:15" ht="17.25" customHeight="1" x14ac:dyDescent="0.25">
      <c r="B50" s="7"/>
      <c r="C50" s="7">
        <f>$H$15/$H$16*$H$17/$H$18*0.75/25*1/4*$H$14/100*100</f>
        <v>9.5733750000000003E-3</v>
      </c>
      <c r="E50" s="48" t="s">
        <v>23</v>
      </c>
      <c r="F50" s="7">
        <f>$H$15/$H$16*$H$17/$H$18*0.75/25*1/4*$H$14/100*1000000</f>
        <v>95.733750000000001</v>
      </c>
      <c r="G50" s="48">
        <v>16572</v>
      </c>
      <c r="H50" s="48">
        <v>16572</v>
      </c>
      <c r="I50" s="44">
        <f t="shared" si="2"/>
        <v>16572</v>
      </c>
      <c r="J50" s="10"/>
      <c r="K50" s="10"/>
      <c r="L50" s="10"/>
      <c r="M50" s="10"/>
    </row>
    <row r="51" spans="2:15" x14ac:dyDescent="0.25">
      <c r="B51" s="7"/>
      <c r="C51" s="7">
        <f>$H$15/$H$16*$H$17/$H$18*1/25*1/4*$H$14/100*100</f>
        <v>1.2764499999999998E-2</v>
      </c>
      <c r="E51" s="48" t="s">
        <v>24</v>
      </c>
      <c r="F51" s="7">
        <f>$H$15/$H$16*$H$17/$H$18*1/25*1/4*$H$14/100*1000000</f>
        <v>127.64499999999998</v>
      </c>
      <c r="G51" s="48">
        <v>21312</v>
      </c>
      <c r="H51" s="48">
        <v>21312</v>
      </c>
      <c r="I51" s="44">
        <f t="shared" si="2"/>
        <v>21312</v>
      </c>
      <c r="J51" s="10"/>
      <c r="K51" s="10"/>
      <c r="L51" s="10"/>
      <c r="M51" s="10"/>
    </row>
    <row r="52" spans="2:15" x14ac:dyDescent="0.25">
      <c r="B52" s="7"/>
      <c r="C52" s="7">
        <f>$H$15/$H$16*$H$17/$H$18*1.25/25*1/4*$H$14/100*100</f>
        <v>1.5955625000000001E-2</v>
      </c>
      <c r="E52" s="48" t="s">
        <v>25</v>
      </c>
      <c r="F52" s="7">
        <f>$H$15/$H$16*$H$17/$H$18*1.25/25*1/4*$H$14/100*1000000</f>
        <v>159.55625000000001</v>
      </c>
      <c r="G52" s="48">
        <v>26261</v>
      </c>
      <c r="H52" s="48">
        <v>26261</v>
      </c>
      <c r="I52" s="48">
        <v>26261</v>
      </c>
      <c r="J52" s="10"/>
      <c r="K52" s="10"/>
      <c r="L52" s="10"/>
      <c r="M52" s="10"/>
    </row>
    <row r="53" spans="2:15" x14ac:dyDescent="0.25">
      <c r="C53" s="7">
        <f>$H$15/$H$16*$H$17/$H$18*1.5/25*1/4*$H$14/100*100</f>
        <v>1.9146750000000001E-2</v>
      </c>
      <c r="E53" s="48" t="s">
        <v>26</v>
      </c>
      <c r="F53" s="7">
        <f>$H$15/$H$16*$H$17/$H$18*1.5/25*1/4*$H$14/100*1000000</f>
        <v>191.4675</v>
      </c>
      <c r="G53" s="48">
        <v>33151</v>
      </c>
      <c r="H53" s="48">
        <v>33151</v>
      </c>
      <c r="I53" s="44">
        <f t="shared" si="2"/>
        <v>33151</v>
      </c>
    </row>
    <row r="54" spans="2:15" x14ac:dyDescent="0.25">
      <c r="E54" s="96" t="s">
        <v>39</v>
      </c>
      <c r="F54" s="96"/>
      <c r="G54" s="96"/>
      <c r="H54" s="96"/>
      <c r="I54" s="33">
        <f>CORREL(F48:F53,I48:I53)</f>
        <v>0.99852635007393464</v>
      </c>
    </row>
    <row r="55" spans="2:15" x14ac:dyDescent="0.25">
      <c r="E55" s="96" t="s">
        <v>0</v>
      </c>
      <c r="F55" s="96"/>
      <c r="G55" s="96"/>
      <c r="H55" s="96"/>
      <c r="I55" s="33">
        <f>I54*I54</f>
        <v>0.99705487179197383</v>
      </c>
    </row>
    <row r="56" spans="2:15" x14ac:dyDescent="0.25">
      <c r="E56" s="96" t="s">
        <v>1</v>
      </c>
      <c r="F56" s="96"/>
      <c r="G56" s="96"/>
      <c r="H56" s="96"/>
      <c r="I56" s="8">
        <f>SLOPE(I48:I53,F48:F53)</f>
        <v>166.73028923799737</v>
      </c>
    </row>
    <row r="57" spans="2:15" x14ac:dyDescent="0.25">
      <c r="E57" s="96" t="s">
        <v>37</v>
      </c>
      <c r="F57" s="96"/>
      <c r="G57" s="96"/>
      <c r="H57" s="96"/>
      <c r="I57" s="32">
        <f>INTERCEPT(I48:I53,F48:F53)</f>
        <v>417.51726618705288</v>
      </c>
    </row>
    <row r="58" spans="2:15" x14ac:dyDescent="0.25">
      <c r="E58" s="96" t="s">
        <v>38</v>
      </c>
      <c r="F58" s="96"/>
      <c r="G58" s="96"/>
      <c r="H58" s="96"/>
      <c r="I58" s="43">
        <f>I57/I51*100</f>
        <v>1.9590712565083188</v>
      </c>
    </row>
    <row r="60" spans="2:15" ht="27.75" customHeight="1" x14ac:dyDescent="0.25">
      <c r="E60" s="22" t="str">
        <f>I12</f>
        <v>2-AP 4-AB</v>
      </c>
      <c r="F60" s="24" t="s">
        <v>44</v>
      </c>
      <c r="G60" s="24" t="s">
        <v>17</v>
      </c>
      <c r="H60" s="24" t="s">
        <v>18</v>
      </c>
      <c r="I60" s="24" t="s">
        <v>5</v>
      </c>
      <c r="O60" s="41"/>
    </row>
    <row r="61" spans="2:15" x14ac:dyDescent="0.25">
      <c r="C61" s="7">
        <f>$I$15/$I$16*2.5/100*0.2/25*1/4*$I$14/100*100</f>
        <v>2.6038319999999999E-3</v>
      </c>
      <c r="D61" s="31"/>
      <c r="E61" s="48" t="s">
        <v>27</v>
      </c>
      <c r="F61" s="7">
        <f>$I$15/$I$16*2.5/100*0.2/25*1/4*$I$14/100*1000000</f>
        <v>26.038319999999999</v>
      </c>
      <c r="G61" s="48">
        <v>2735</v>
      </c>
      <c r="H61" s="48">
        <v>2735</v>
      </c>
      <c r="I61" s="44">
        <f>(G61+H61)/2</f>
        <v>2735</v>
      </c>
      <c r="J61" s="5"/>
      <c r="K61" s="5"/>
      <c r="L61" s="5"/>
      <c r="M61" s="5"/>
    </row>
    <row r="62" spans="2:15" x14ac:dyDescent="0.25">
      <c r="C62" s="7">
        <f>$I$15/$I$16*$I$17/$I$18*0.5/25*1/4*$I$14/100*100</f>
        <v>6.5095800000000001E-3</v>
      </c>
      <c r="D62" s="31"/>
      <c r="E62" s="48" t="s">
        <v>22</v>
      </c>
      <c r="F62" s="7">
        <f>$I$15/$I$16*$I$17/$I$18*0.5/25*1/4*$I$14/100*1000000</f>
        <v>65.095799999999997</v>
      </c>
      <c r="G62" s="48">
        <v>6760</v>
      </c>
      <c r="H62" s="48">
        <v>6760</v>
      </c>
      <c r="I62" s="44">
        <f t="shared" ref="I62:I66" si="3">(G62+H62)/2</f>
        <v>6760</v>
      </c>
      <c r="J62" s="5"/>
      <c r="K62" s="5"/>
      <c r="L62" s="5"/>
      <c r="M62" s="5"/>
    </row>
    <row r="63" spans="2:15" x14ac:dyDescent="0.25">
      <c r="C63" s="7">
        <f>$I$15/$I$16*$I$17/$I$18*0.75/25*1/4*$I$14/100*100</f>
        <v>9.7643699999999996E-3</v>
      </c>
      <c r="D63" s="31"/>
      <c r="E63" s="48" t="s">
        <v>23</v>
      </c>
      <c r="F63" s="7">
        <f>$I$15/$I$16*$I$17/$I$18*0.75/25*1/4*$I$14/100*1000000</f>
        <v>97.643699999999995</v>
      </c>
      <c r="G63" s="48">
        <v>10135</v>
      </c>
      <c r="H63" s="48">
        <v>10135</v>
      </c>
      <c r="I63" s="44">
        <f t="shared" si="3"/>
        <v>10135</v>
      </c>
      <c r="J63" s="5"/>
      <c r="K63" s="5"/>
      <c r="L63" s="5"/>
      <c r="M63" s="5"/>
    </row>
    <row r="64" spans="2:15" x14ac:dyDescent="0.25">
      <c r="C64" s="7">
        <f>$I$15/$I$16*$I$17/$I$18*1/25*1/4*$I$14/100*100</f>
        <v>1.301916E-2</v>
      </c>
      <c r="D64" s="31"/>
      <c r="E64" s="48" t="s">
        <v>24</v>
      </c>
      <c r="F64" s="7">
        <f>$I$15/$I$16*$I$17/$I$18*1/25*1/4*$I$14/100*1000000</f>
        <v>130.19159999999999</v>
      </c>
      <c r="G64" s="48">
        <v>13649</v>
      </c>
      <c r="H64" s="48">
        <v>13649</v>
      </c>
      <c r="I64" s="44">
        <f t="shared" si="3"/>
        <v>13649</v>
      </c>
    </row>
    <row r="65" spans="3:13" x14ac:dyDescent="0.25">
      <c r="C65" s="7">
        <f>$I$15/$I$16*$I$17/$I$18*1.25/25*1/4*$I$14/100*100</f>
        <v>1.6273949999999999E-2</v>
      </c>
      <c r="D65" s="31"/>
      <c r="E65" s="48" t="s">
        <v>25</v>
      </c>
      <c r="F65" s="7">
        <f>$I$15/$I$16*$I$17/$I$18*1.25/25*1/4*$I$14/100*1000000</f>
        <v>162.73949999999999</v>
      </c>
      <c r="G65" s="48">
        <v>17161</v>
      </c>
      <c r="H65" s="48">
        <v>17161</v>
      </c>
      <c r="I65" s="44">
        <f t="shared" si="3"/>
        <v>17161</v>
      </c>
      <c r="J65" s="5"/>
      <c r="K65" s="5"/>
      <c r="L65" s="5"/>
      <c r="M65" s="5"/>
    </row>
    <row r="66" spans="3:13" x14ac:dyDescent="0.25">
      <c r="C66" s="7">
        <f>$I$15/$I$16*$I$17/$I$18*1.5/25*1/4*$I$14/100*100</f>
        <v>1.9528739999999999E-2</v>
      </c>
      <c r="D66" s="31"/>
      <c r="E66" s="48" t="s">
        <v>26</v>
      </c>
      <c r="F66" s="7">
        <f>$I$15/$I$16*$I$17/$I$18*1.5/25*1/4*$I$14/100*1000000</f>
        <v>195.28739999999999</v>
      </c>
      <c r="G66" s="48">
        <v>20703</v>
      </c>
      <c r="H66" s="48">
        <v>20703</v>
      </c>
      <c r="I66" s="44">
        <f t="shared" si="3"/>
        <v>20703</v>
      </c>
      <c r="J66" s="5"/>
      <c r="K66" s="5"/>
      <c r="L66" s="5"/>
      <c r="M66" s="5"/>
    </row>
    <row r="67" spans="3:13" x14ac:dyDescent="0.25">
      <c r="D67" s="31"/>
      <c r="E67" s="96" t="s">
        <v>39</v>
      </c>
      <c r="F67" s="96"/>
      <c r="G67" s="96"/>
      <c r="H67" s="96"/>
      <c r="I67" s="33">
        <f>CORREL(F61:F66,I61:I66)</f>
        <v>0.99992716694200223</v>
      </c>
      <c r="J67" s="5"/>
      <c r="K67" s="5"/>
      <c r="L67" s="5"/>
      <c r="M67" s="5"/>
    </row>
    <row r="68" spans="3:13" x14ac:dyDescent="0.25">
      <c r="D68" s="31"/>
      <c r="E68" s="96" t="s">
        <v>0</v>
      </c>
      <c r="F68" s="96"/>
      <c r="G68" s="96"/>
      <c r="H68" s="96"/>
      <c r="I68" s="33">
        <f>I67*I67</f>
        <v>0.99985433918865885</v>
      </c>
    </row>
    <row r="69" spans="3:13" x14ac:dyDescent="0.25">
      <c r="D69" s="31"/>
      <c r="E69" s="96" t="s">
        <v>1</v>
      </c>
      <c r="F69" s="96"/>
      <c r="G69" s="96"/>
      <c r="H69" s="96"/>
      <c r="I69" s="8">
        <f>SLOPE(I61:I66,F61:F66)</f>
        <v>106.26772746955949</v>
      </c>
      <c r="J69" s="5"/>
      <c r="K69" s="5"/>
      <c r="L69" s="5"/>
      <c r="M69" s="5"/>
    </row>
    <row r="70" spans="3:13" x14ac:dyDescent="0.25">
      <c r="D70" s="31"/>
      <c r="E70" s="96" t="s">
        <v>37</v>
      </c>
      <c r="F70" s="96"/>
      <c r="G70" s="96"/>
      <c r="H70" s="96"/>
      <c r="I70" s="32">
        <f>INTERCEPT(I61:I66,F61:F66)</f>
        <v>-133.31007194244739</v>
      </c>
      <c r="J70" s="5"/>
      <c r="K70" s="5"/>
      <c r="L70" s="5"/>
      <c r="M70" s="5"/>
    </row>
    <row r="71" spans="3:13" x14ac:dyDescent="0.25">
      <c r="D71" s="31"/>
      <c r="E71" s="96" t="s">
        <v>38</v>
      </c>
      <c r="F71" s="96"/>
      <c r="G71" s="96"/>
      <c r="H71" s="96"/>
      <c r="I71" s="43">
        <f>I70/I64*100</f>
        <v>-0.97670211694957432</v>
      </c>
      <c r="J71" s="5"/>
      <c r="K71" s="5"/>
      <c r="L71" s="5"/>
      <c r="M71" s="5"/>
    </row>
    <row r="74" spans="3:13" x14ac:dyDescent="0.25">
      <c r="D74" s="49"/>
      <c r="E74" s="22" t="str">
        <f>J12</f>
        <v>DAPBA</v>
      </c>
      <c r="F74" s="24" t="s">
        <v>44</v>
      </c>
      <c r="G74" s="24" t="s">
        <v>17</v>
      </c>
      <c r="H74" s="24" t="s">
        <v>18</v>
      </c>
      <c r="I74" s="24" t="s">
        <v>5</v>
      </c>
      <c r="J74" s="5"/>
      <c r="K74" s="5"/>
      <c r="L74" s="5"/>
      <c r="M74" s="5"/>
    </row>
    <row r="75" spans="3:13" x14ac:dyDescent="0.25">
      <c r="C75" s="7">
        <f>$J$15/$J$16*2.5/100*0.2/25*1/4*$J$14/100*100</f>
        <v>2.5140149999999997E-3</v>
      </c>
      <c r="D75" s="49"/>
      <c r="E75" s="48" t="s">
        <v>27</v>
      </c>
      <c r="F75" s="7">
        <f>$J$15/$J$16*5/100*0.2/25*1/4*$J$14/100*1000000</f>
        <v>50.280299999999997</v>
      </c>
      <c r="G75" s="48">
        <v>288</v>
      </c>
      <c r="H75" s="48">
        <v>288</v>
      </c>
      <c r="I75" s="44">
        <f>(G75+H75)/2</f>
        <v>288</v>
      </c>
      <c r="J75" s="5"/>
      <c r="K75" s="5"/>
      <c r="L75" s="5"/>
      <c r="M75" s="5"/>
    </row>
    <row r="76" spans="3:13" x14ac:dyDescent="0.25">
      <c r="C76" s="7">
        <f>$J$15/$J$16*G17/G18*0.5/25*1/4*$J$14/100*100</f>
        <v>6.2850374999999991E-3</v>
      </c>
      <c r="D76" s="49"/>
      <c r="E76" s="48" t="s">
        <v>22</v>
      </c>
      <c r="F76" s="7">
        <f>$J$15/$J$16*J17/J18*0.5/25*1/4*$J$14/100*1000000</f>
        <v>125.70074999999997</v>
      </c>
      <c r="G76" s="48">
        <v>878</v>
      </c>
      <c r="H76" s="48">
        <v>878</v>
      </c>
      <c r="I76" s="44">
        <f>(G76+H76)/2</f>
        <v>878</v>
      </c>
      <c r="J76" s="5"/>
      <c r="K76" s="5"/>
      <c r="L76" s="5"/>
      <c r="M76" s="5"/>
    </row>
    <row r="77" spans="3:13" x14ac:dyDescent="0.25">
      <c r="C77" s="7">
        <f>$J$15/$J$16*$J$17/$J$18*0.75/25*1/4*$J$14/100*100</f>
        <v>1.88551125E-2</v>
      </c>
      <c r="D77" s="49"/>
      <c r="E77" s="48" t="s">
        <v>23</v>
      </c>
      <c r="F77" s="7">
        <f>$J$15/$J$16*$J$17/$J$18*0.75/25*1/4*$J$14/100*1000000</f>
        <v>188.55112500000001</v>
      </c>
      <c r="G77" s="48">
        <v>1391</v>
      </c>
      <c r="H77" s="48">
        <v>1391</v>
      </c>
      <c r="I77" s="44">
        <f>(G77+H77)/2</f>
        <v>1391</v>
      </c>
    </row>
    <row r="78" spans="3:13" x14ac:dyDescent="0.25">
      <c r="C78" s="7">
        <f>$J$15/$J$16*$J$17/$J$18*1/25*1/4*$J$14/100*100</f>
        <v>2.5140149999999997E-2</v>
      </c>
      <c r="D78" s="49"/>
      <c r="E78" s="48" t="s">
        <v>24</v>
      </c>
      <c r="F78" s="7">
        <f>$J$15/$J$16*$J$17/$J$18*1/25*1/4*$J$14/100*1000000</f>
        <v>251.40149999999994</v>
      </c>
      <c r="G78" s="48">
        <v>1776</v>
      </c>
      <c r="H78" s="48">
        <v>1776</v>
      </c>
      <c r="I78" s="44">
        <f>(G78+H78)/2</f>
        <v>1776</v>
      </c>
      <c r="J78" s="5"/>
      <c r="K78" s="5"/>
      <c r="L78" s="5"/>
      <c r="M78" s="5"/>
    </row>
    <row r="79" spans="3:13" x14ac:dyDescent="0.25">
      <c r="C79" s="7">
        <f>$J$15/$J$16*$J$17/$J$18*1.25/25*1/4*$J$14/100*100</f>
        <v>3.14251875E-2</v>
      </c>
      <c r="D79" s="49"/>
      <c r="E79" s="48" t="s">
        <v>25</v>
      </c>
      <c r="F79" s="7">
        <f>$J$15/$J$16*$J$17/$J$18*1.25/25*1/4*$J$14/100*1000000</f>
        <v>314.25187499999998</v>
      </c>
      <c r="G79" s="48">
        <v>2278</v>
      </c>
      <c r="H79" s="48">
        <v>2278</v>
      </c>
      <c r="I79" s="44">
        <f>(G79+H79)/2</f>
        <v>2278</v>
      </c>
      <c r="J79" s="5"/>
      <c r="K79" s="5"/>
      <c r="L79" s="5"/>
      <c r="M79" s="5"/>
    </row>
    <row r="80" spans="3:13" x14ac:dyDescent="0.25">
      <c r="C80" s="7">
        <f>$J$15/$J$16*$J$17/$J$18*1.5/25*1/4*$J$14/100*100</f>
        <v>3.7710225E-2</v>
      </c>
      <c r="D80" s="49"/>
      <c r="E80" s="48" t="s">
        <v>26</v>
      </c>
      <c r="F80" s="7">
        <f>$J$15/$J$16*$J$17/$J$18*1.5/25*1/4*$J$14/100*1000000</f>
        <v>377.10225000000003</v>
      </c>
      <c r="G80" s="48">
        <v>2781</v>
      </c>
      <c r="H80" s="48">
        <v>2781</v>
      </c>
      <c r="I80" s="44">
        <f t="shared" ref="I80" si="4">(G80+H80)/2</f>
        <v>2781</v>
      </c>
      <c r="J80" s="5"/>
      <c r="K80" s="5"/>
      <c r="L80" s="5"/>
      <c r="M80" s="5"/>
    </row>
    <row r="81" spans="3:13" x14ac:dyDescent="0.25">
      <c r="D81" s="49"/>
      <c r="E81" s="96" t="s">
        <v>39</v>
      </c>
      <c r="F81" s="96"/>
      <c r="G81" s="96"/>
      <c r="H81" s="96"/>
      <c r="I81" s="33">
        <f>CORREL(F75:F80,I75:I80)</f>
        <v>0.9994438243660998</v>
      </c>
    </row>
    <row r="82" spans="3:13" x14ac:dyDescent="0.25">
      <c r="D82" s="49"/>
      <c r="E82" s="96" t="s">
        <v>0</v>
      </c>
      <c r="F82" s="96"/>
      <c r="G82" s="96"/>
      <c r="H82" s="96"/>
      <c r="I82" s="33">
        <f>I81*I81</f>
        <v>0.99888795806353536</v>
      </c>
      <c r="J82" s="5"/>
      <c r="K82" s="5"/>
      <c r="L82" s="5"/>
      <c r="M82" s="5"/>
    </row>
    <row r="83" spans="3:13" x14ac:dyDescent="0.25">
      <c r="D83" s="49"/>
      <c r="E83" s="96" t="s">
        <v>1</v>
      </c>
      <c r="F83" s="96"/>
      <c r="G83" s="96"/>
      <c r="H83" s="96"/>
      <c r="I83" s="34">
        <f>SLOPE(I75:I80,F75:F80)</f>
        <v>7.5380009594272073</v>
      </c>
      <c r="J83" s="5"/>
      <c r="K83" s="5"/>
      <c r="L83" s="5"/>
      <c r="M83" s="5"/>
    </row>
    <row r="84" spans="3:13" x14ac:dyDescent="0.25">
      <c r="D84" s="49"/>
      <c r="E84" s="96" t="s">
        <v>37</v>
      </c>
      <c r="F84" s="96"/>
      <c r="G84" s="96"/>
      <c r="H84" s="96"/>
      <c r="I84" s="32">
        <f>INTERCEPT(I75:I80,F75:F80)</f>
        <v>-77.056115107913911</v>
      </c>
      <c r="J84" s="5"/>
      <c r="K84" s="5"/>
      <c r="L84" s="5"/>
      <c r="M84" s="5"/>
    </row>
    <row r="85" spans="3:13" x14ac:dyDescent="0.25">
      <c r="E85" s="96" t="s">
        <v>38</v>
      </c>
      <c r="F85" s="96"/>
      <c r="G85" s="96"/>
      <c r="H85" s="96"/>
      <c r="I85" s="43">
        <f>I84/I78*100</f>
        <v>-4.3387452200401979</v>
      </c>
    </row>
    <row r="87" spans="3:13" x14ac:dyDescent="0.25">
      <c r="E87" s="22" t="str">
        <f>K12</f>
        <v>PABI</v>
      </c>
      <c r="F87" s="24" t="s">
        <v>44</v>
      </c>
      <c r="G87" s="24" t="s">
        <v>17</v>
      </c>
      <c r="H87" s="24" t="s">
        <v>18</v>
      </c>
      <c r="I87" s="24" t="s">
        <v>5</v>
      </c>
    </row>
    <row r="88" spans="3:13" x14ac:dyDescent="0.25">
      <c r="C88" s="7">
        <f>$K$15/$K$16*1/100*0.2/25*1/4*$K$14/100*100</f>
        <v>1.2115300000000002E-3</v>
      </c>
      <c r="D88" s="52">
        <f>C88*3.3/10</f>
        <v>3.998049E-4</v>
      </c>
      <c r="E88" s="48" t="s">
        <v>27</v>
      </c>
      <c r="F88" s="7">
        <f>$K$15/$K$16*1/100*0.2/25*1/4*$K$14/100*1000000</f>
        <v>12.115300000000003</v>
      </c>
      <c r="G88" s="48">
        <v>2094</v>
      </c>
      <c r="H88" s="48">
        <v>2094</v>
      </c>
      <c r="I88" s="44">
        <f>(G88+H88)/2</f>
        <v>2094</v>
      </c>
      <c r="J88" s="5"/>
      <c r="K88" s="5"/>
      <c r="L88" s="5"/>
      <c r="M88" s="5"/>
    </row>
    <row r="89" spans="3:13" x14ac:dyDescent="0.25">
      <c r="C89" s="7">
        <f>$K$15/$K$16*$K$17/$K$18*0.5/25*1/4*$K$14/100*100</f>
        <v>3.0288250000000002E-3</v>
      </c>
      <c r="D89" s="49"/>
      <c r="E89" s="48" t="s">
        <v>22</v>
      </c>
      <c r="F89" s="7">
        <f>$K$15/$K$16*$K$17/$K$18*0.5/25*1/4*$K$14/100*1000000</f>
        <v>30.288250000000001</v>
      </c>
      <c r="G89" s="48">
        <v>4378</v>
      </c>
      <c r="H89" s="48">
        <v>4378</v>
      </c>
      <c r="I89" s="44">
        <f t="shared" ref="I89:I93" si="5">(G89+H89)/2</f>
        <v>4378</v>
      </c>
      <c r="J89" s="5"/>
      <c r="K89" s="5"/>
      <c r="L89" s="5"/>
      <c r="M89" s="5"/>
    </row>
    <row r="90" spans="3:13" x14ac:dyDescent="0.25">
      <c r="C90" s="7">
        <f>$K$15/$K$16*$K$17/$K$18*0.75/25*1/4*$K$14/100*100</f>
        <v>4.5432375000000009E-3</v>
      </c>
      <c r="D90" s="49"/>
      <c r="E90" s="48" t="s">
        <v>23</v>
      </c>
      <c r="F90" s="7">
        <f>$K$15/$K$16*$K$17/$K$18*0.75/25*1/4*$K$14/100*1000000</f>
        <v>45.432375000000008</v>
      </c>
      <c r="G90" s="48">
        <v>6534</v>
      </c>
      <c r="H90" s="48">
        <v>6534</v>
      </c>
      <c r="I90" s="44">
        <f t="shared" si="5"/>
        <v>6534</v>
      </c>
      <c r="J90" s="5"/>
      <c r="K90" s="5"/>
      <c r="L90" s="5"/>
      <c r="M90" s="5"/>
    </row>
    <row r="91" spans="3:13" x14ac:dyDescent="0.25">
      <c r="C91" s="7">
        <f>$K$15/$K$16*$K$17/$K$18*1/25*1/4*$K$14/100*100</f>
        <v>6.0576500000000004E-3</v>
      </c>
      <c r="D91" s="49"/>
      <c r="E91" s="48" t="s">
        <v>24</v>
      </c>
      <c r="F91" s="7">
        <f>$K$15/$K$16*$K$17/$K$18*1/25*1/4*$K$14/100*1000000</f>
        <v>60.576500000000003</v>
      </c>
      <c r="G91" s="48">
        <v>9299</v>
      </c>
      <c r="H91" s="48">
        <v>9299</v>
      </c>
      <c r="I91" s="44">
        <f t="shared" si="5"/>
        <v>9299</v>
      </c>
    </row>
    <row r="92" spans="3:13" x14ac:dyDescent="0.25">
      <c r="C92" s="7">
        <f>$K$15/$K$16*$K$17/$K$18*1.25/25*1/4*$K$14/100*100</f>
        <v>7.5720625000000007E-3</v>
      </c>
      <c r="D92" s="49"/>
      <c r="E92" s="48" t="s">
        <v>25</v>
      </c>
      <c r="F92" s="7">
        <f>$K$15/$K$16*$K$17/$K$18*1.25/25*1/4*$K$14/100*1000000</f>
        <v>75.720625000000013</v>
      </c>
      <c r="G92" s="48">
        <v>11422</v>
      </c>
      <c r="H92" s="48">
        <v>11422</v>
      </c>
      <c r="I92" s="44">
        <f t="shared" si="5"/>
        <v>11422</v>
      </c>
      <c r="J92" s="5"/>
      <c r="K92" s="5"/>
      <c r="L92" s="5"/>
      <c r="M92" s="5"/>
    </row>
    <row r="93" spans="3:13" x14ac:dyDescent="0.25">
      <c r="C93" s="7">
        <f>$K$15/$K$16*$K$17/$K$18*1.5/25*1/4*$K$14/100*100</f>
        <v>9.0864750000000018E-3</v>
      </c>
      <c r="D93" s="49"/>
      <c r="E93" s="48" t="s">
        <v>26</v>
      </c>
      <c r="F93" s="7">
        <f>$K$15/$K$16*$K$17/$K$18*1.5/25*1/4*$K$14/100*1000000</f>
        <v>90.864750000000015</v>
      </c>
      <c r="G93" s="48">
        <v>13796</v>
      </c>
      <c r="H93" s="48">
        <v>13796</v>
      </c>
      <c r="I93" s="44">
        <f t="shared" si="5"/>
        <v>13796</v>
      </c>
      <c r="J93" s="5"/>
      <c r="K93" s="5"/>
      <c r="L93" s="5"/>
      <c r="M93" s="5"/>
    </row>
    <row r="94" spans="3:13" x14ac:dyDescent="0.25">
      <c r="D94" s="49"/>
      <c r="E94" s="96" t="s">
        <v>39</v>
      </c>
      <c r="F94" s="96"/>
      <c r="G94" s="96"/>
      <c r="H94" s="96"/>
      <c r="I94" s="33">
        <f>CORREL(F88:F93,I88:I93)</f>
        <v>0.99874630057024527</v>
      </c>
      <c r="J94" s="5"/>
      <c r="K94" s="5"/>
      <c r="L94" s="5"/>
      <c r="M94" s="5"/>
    </row>
    <row r="95" spans="3:13" x14ac:dyDescent="0.25">
      <c r="D95" s="49"/>
      <c r="E95" s="96" t="s">
        <v>0</v>
      </c>
      <c r="F95" s="96"/>
      <c r="G95" s="96"/>
      <c r="H95" s="96"/>
      <c r="I95" s="33">
        <f>I94*I94</f>
        <v>0.99749417290275066</v>
      </c>
    </row>
    <row r="96" spans="3:13" x14ac:dyDescent="0.25">
      <c r="D96" s="49"/>
      <c r="E96" s="96" t="s">
        <v>1</v>
      </c>
      <c r="F96" s="96"/>
      <c r="G96" s="96"/>
      <c r="H96" s="96"/>
      <c r="I96" s="34">
        <f>SLOPE(I88:I93,F88:F93)</f>
        <v>150.95532630213046</v>
      </c>
      <c r="J96" s="5"/>
      <c r="K96" s="5"/>
      <c r="L96" s="5"/>
      <c r="M96" s="5"/>
    </row>
    <row r="97" spans="3:13" x14ac:dyDescent="0.25">
      <c r="D97" s="49"/>
      <c r="E97" s="96" t="s">
        <v>37</v>
      </c>
      <c r="F97" s="96"/>
      <c r="G97" s="96"/>
      <c r="H97" s="96"/>
      <c r="I97" s="32">
        <f>INTERCEPT(I88:I93,F88:F93)</f>
        <v>-4.5992805755395239</v>
      </c>
      <c r="J97" s="5"/>
      <c r="K97" s="5"/>
      <c r="L97" s="5"/>
      <c r="M97" s="5"/>
    </row>
    <row r="98" spans="3:13" x14ac:dyDescent="0.25">
      <c r="D98" s="49"/>
      <c r="E98" s="96" t="s">
        <v>38</v>
      </c>
      <c r="F98" s="96"/>
      <c r="G98" s="96"/>
      <c r="H98" s="96"/>
      <c r="I98" s="43">
        <f>I97/I91*100</f>
        <v>-4.9459948118502246E-2</v>
      </c>
      <c r="J98" s="5"/>
      <c r="K98" s="5"/>
      <c r="L98" s="5"/>
      <c r="M98" s="5"/>
    </row>
    <row r="99" spans="3:13" x14ac:dyDescent="0.25">
      <c r="D99" s="49"/>
      <c r="E99" s="5"/>
      <c r="F99" s="5"/>
      <c r="G99" s="5"/>
      <c r="H99" s="5"/>
      <c r="I99" s="5"/>
      <c r="J99" s="5"/>
      <c r="K99" s="5"/>
      <c r="L99" s="5"/>
      <c r="M99" s="5"/>
    </row>
    <row r="100" spans="3:13" ht="25.5" customHeight="1" x14ac:dyDescent="0.25">
      <c r="E100" s="22" t="str">
        <f>L12</f>
        <v>4-BIA</v>
      </c>
      <c r="F100" s="24" t="s">
        <v>44</v>
      </c>
      <c r="G100" s="24" t="s">
        <v>17</v>
      </c>
      <c r="H100" s="24" t="s">
        <v>18</v>
      </c>
      <c r="I100" s="24" t="s">
        <v>5</v>
      </c>
    </row>
    <row r="101" spans="3:13" x14ac:dyDescent="0.25">
      <c r="C101" s="7">
        <f>$L$15/$L$16*$L$17/$L$18*0.2/25*1/4*$L$14/100*100</f>
        <v>1.2608738999999999E-3</v>
      </c>
      <c r="E101" s="48" t="s">
        <v>27</v>
      </c>
      <c r="F101" s="7">
        <f>$L$15/$L$16*$L$17/$L$18*0.2/25*1/4*$L$14/100*1000000</f>
        <v>12.608738999999998</v>
      </c>
      <c r="G101" s="48">
        <v>4385</v>
      </c>
      <c r="H101" s="48">
        <v>4385</v>
      </c>
      <c r="I101" s="44">
        <f>(G101+H101)/2</f>
        <v>4385</v>
      </c>
    </row>
    <row r="102" spans="3:13" x14ac:dyDescent="0.25">
      <c r="C102" s="7">
        <f>$L$15/$L$16*$L$17/$L$18*0.5/25*1/4*$L$14/100*100</f>
        <v>3.1521847500000002E-3</v>
      </c>
      <c r="D102" s="49"/>
      <c r="E102" s="48" t="s">
        <v>22</v>
      </c>
      <c r="F102" s="7">
        <f>$L$15/$L$16*$L$17/$L$18*0.5/25*1/4*$L$14/100*1000000</f>
        <v>31.5218475</v>
      </c>
      <c r="G102" s="48">
        <v>11341</v>
      </c>
      <c r="H102" s="48">
        <v>11341</v>
      </c>
      <c r="I102" s="44">
        <f t="shared" ref="I102:I106" si="6">(G102+H102)/2</f>
        <v>11341</v>
      </c>
      <c r="J102" s="5"/>
      <c r="K102" s="5"/>
      <c r="L102" s="5"/>
      <c r="M102" s="5"/>
    </row>
    <row r="103" spans="3:13" x14ac:dyDescent="0.25">
      <c r="C103" s="7">
        <f>$L$15/$L$16*$L$17/$L$18*0.75/25*1/4*$L$14/100*100</f>
        <v>4.7282771250000003E-3</v>
      </c>
      <c r="D103" s="6"/>
      <c r="E103" s="48" t="s">
        <v>23</v>
      </c>
      <c r="F103" s="7">
        <f>$L$15/$L$16*$L$17/$L$18*0.75/25*1/4*$L$14/100*1000000</f>
        <v>47.282771250000003</v>
      </c>
      <c r="G103" s="48">
        <v>16436</v>
      </c>
      <c r="H103" s="48">
        <v>16436</v>
      </c>
      <c r="I103" s="44">
        <f t="shared" si="6"/>
        <v>16436</v>
      </c>
      <c r="J103" s="5"/>
      <c r="K103" s="5"/>
      <c r="L103" s="5"/>
      <c r="M103" s="5"/>
    </row>
    <row r="104" spans="3:13" x14ac:dyDescent="0.25">
      <c r="C104" s="7">
        <f>$L$15/$L$16*$L$17/$L$18*1/25*1/4*$L$14/100*100</f>
        <v>6.3043695000000004E-3</v>
      </c>
      <c r="D104" s="49"/>
      <c r="E104" s="48" t="s">
        <v>24</v>
      </c>
      <c r="F104" s="7">
        <f>$L$15/$L$16*$L$17/$L$18*1/25*1/4*$L$14/100*1000000</f>
        <v>63.043695</v>
      </c>
      <c r="G104" s="48">
        <v>22247</v>
      </c>
      <c r="H104" s="48">
        <v>22247</v>
      </c>
      <c r="I104" s="44">
        <f t="shared" si="6"/>
        <v>22247</v>
      </c>
      <c r="J104" s="5"/>
      <c r="K104" s="5"/>
      <c r="L104" s="5"/>
      <c r="M104" s="5"/>
    </row>
    <row r="105" spans="3:13" x14ac:dyDescent="0.25">
      <c r="C105" s="7">
        <f>$L$15/$L$16*$L$17/$L$18*1.25/25*1/4*$L$14/100*100</f>
        <v>7.8804618749999996E-3</v>
      </c>
      <c r="D105" s="49"/>
      <c r="E105" s="48" t="s">
        <v>25</v>
      </c>
      <c r="F105" s="7">
        <f>$L$15/$L$16*$L$17/$L$18*1.25/25*1/4*$L$14/100*1000000</f>
        <v>78.804618749999989</v>
      </c>
      <c r="G105" s="48">
        <v>27881</v>
      </c>
      <c r="H105" s="48">
        <v>27881</v>
      </c>
      <c r="I105" s="44">
        <f t="shared" si="6"/>
        <v>27881</v>
      </c>
    </row>
    <row r="106" spans="3:13" x14ac:dyDescent="0.25">
      <c r="C106" s="7">
        <f>$L$15/$L$16*$L$17/$L$18*1.5/25*1/4*$L$14/100*100</f>
        <v>9.4565542500000006E-3</v>
      </c>
      <c r="D106" s="49"/>
      <c r="E106" s="48" t="s">
        <v>26</v>
      </c>
      <c r="F106" s="7">
        <f>$L$15/$L$16*$L$17/$L$18*1.5/25*1/4*$L$14/100*1000000</f>
        <v>94.565542500000006</v>
      </c>
      <c r="G106" s="48">
        <v>33948</v>
      </c>
      <c r="H106" s="48">
        <v>33948</v>
      </c>
      <c r="I106" s="44">
        <f t="shared" si="6"/>
        <v>33948</v>
      </c>
      <c r="J106" s="5"/>
      <c r="K106" s="5"/>
      <c r="L106" s="5"/>
      <c r="M106" s="5"/>
    </row>
    <row r="107" spans="3:13" x14ac:dyDescent="0.25">
      <c r="D107" s="49"/>
      <c r="E107" s="96" t="s">
        <v>39</v>
      </c>
      <c r="F107" s="96"/>
      <c r="G107" s="96"/>
      <c r="H107" s="96"/>
      <c r="I107" s="33">
        <f>CORREL(F101:F106,I101:I106)</f>
        <v>0.99976912905672111</v>
      </c>
      <c r="J107" s="5"/>
      <c r="K107" s="5"/>
      <c r="L107" s="5"/>
      <c r="M107" s="5"/>
    </row>
    <row r="108" spans="3:13" x14ac:dyDescent="0.25">
      <c r="D108" s="49"/>
      <c r="E108" s="96" t="s">
        <v>0</v>
      </c>
      <c r="F108" s="96"/>
      <c r="G108" s="96"/>
      <c r="H108" s="96"/>
      <c r="I108" s="33">
        <f>I107*I107</f>
        <v>0.99953831141483462</v>
      </c>
      <c r="J108" s="5"/>
      <c r="K108" s="5"/>
      <c r="L108" s="5"/>
      <c r="M108" s="5"/>
    </row>
    <row r="109" spans="3:13" x14ac:dyDescent="0.25">
      <c r="D109" s="49"/>
      <c r="E109" s="96" t="s">
        <v>1</v>
      </c>
      <c r="F109" s="96"/>
      <c r="G109" s="96"/>
      <c r="H109" s="96"/>
      <c r="I109" s="34">
        <f>SLOPE(I101:I106,F101:F106)</f>
        <v>358.16405766684193</v>
      </c>
    </row>
    <row r="110" spans="3:13" x14ac:dyDescent="0.25">
      <c r="D110" s="49"/>
      <c r="E110" s="96" t="s">
        <v>37</v>
      </c>
      <c r="F110" s="96"/>
      <c r="G110" s="96"/>
      <c r="H110" s="96"/>
      <c r="I110" s="32">
        <f>INTERCEPT(I101:I106,F101:F106)</f>
        <v>-196.32086330935272</v>
      </c>
      <c r="J110" s="5"/>
      <c r="K110" s="5"/>
      <c r="L110" s="5"/>
      <c r="M110" s="5"/>
    </row>
    <row r="111" spans="3:13" x14ac:dyDescent="0.25">
      <c r="D111" s="49"/>
      <c r="E111" s="96" t="s">
        <v>38</v>
      </c>
      <c r="F111" s="96"/>
      <c r="G111" s="96"/>
      <c r="H111" s="96"/>
      <c r="I111" s="43">
        <f>I110/I104*100</f>
        <v>-0.88245994205669398</v>
      </c>
      <c r="J111" s="5"/>
      <c r="K111" s="5"/>
      <c r="L111" s="5"/>
      <c r="M111" s="5"/>
    </row>
    <row r="112" spans="3:13" x14ac:dyDescent="0.25">
      <c r="D112" s="49"/>
      <c r="E112" s="5"/>
      <c r="F112" s="5"/>
      <c r="G112" s="5"/>
      <c r="H112" s="5"/>
      <c r="I112" s="5"/>
      <c r="J112" s="5"/>
      <c r="K112" s="5"/>
      <c r="L112" s="5"/>
      <c r="M112" s="5"/>
    </row>
    <row r="113" spans="4:15" x14ac:dyDescent="0.25">
      <c r="D113" s="49"/>
      <c r="E113" s="5"/>
      <c r="F113" s="5"/>
      <c r="G113" s="5"/>
      <c r="H113" s="5"/>
      <c r="I113" s="5"/>
      <c r="J113" s="5"/>
      <c r="K113" s="5"/>
      <c r="L113" s="5"/>
      <c r="M113" s="5"/>
    </row>
    <row r="115" spans="4:15" x14ac:dyDescent="0.25">
      <c r="E115" s="47" t="s">
        <v>35</v>
      </c>
      <c r="F115" s="47" t="str">
        <f>E21</f>
        <v>TABA</v>
      </c>
      <c r="G115" s="47" t="str">
        <f>E34</f>
        <v>4,4-DABA</v>
      </c>
      <c r="H115" s="47" t="str">
        <f>E47</f>
        <v>DAPBI</v>
      </c>
      <c r="I115" s="47" t="str">
        <f>E60</f>
        <v>2-AP 4-AB</v>
      </c>
      <c r="J115" s="47" t="str">
        <f>E74</f>
        <v>DAPBA</v>
      </c>
      <c r="K115" s="47" t="str">
        <f>E87</f>
        <v>PABI</v>
      </c>
      <c r="L115" s="47" t="str">
        <f>E100</f>
        <v>4-BIA</v>
      </c>
    </row>
    <row r="116" spans="4:15" x14ac:dyDescent="0.25">
      <c r="D116" s="49"/>
      <c r="E116" s="47" t="s">
        <v>36</v>
      </c>
      <c r="F116" s="46">
        <f>I30</f>
        <v>101.83191313146074</v>
      </c>
      <c r="G116" s="46">
        <f>I43</f>
        <v>180.94809179026876</v>
      </c>
      <c r="H116" s="46">
        <f>I56</f>
        <v>166.73028923799737</v>
      </c>
      <c r="I116" s="46">
        <f>I69</f>
        <v>106.26772746955949</v>
      </c>
      <c r="J116" s="46">
        <f>I83</f>
        <v>7.5380009594272073</v>
      </c>
      <c r="K116" s="46">
        <f>I96</f>
        <v>150.95532630213046</v>
      </c>
      <c r="L116" s="46">
        <f>I109</f>
        <v>358.16405766684193</v>
      </c>
      <c r="M116" s="5"/>
    </row>
    <row r="117" spans="4:15" x14ac:dyDescent="0.25">
      <c r="D117" s="49"/>
      <c r="E117" s="47" t="s">
        <v>45</v>
      </c>
      <c r="F117" s="46">
        <f>I31</f>
        <v>68.878417266190809</v>
      </c>
      <c r="G117" s="46">
        <f>I44</f>
        <v>135.68633093525204</v>
      </c>
      <c r="H117" s="46">
        <f>I57</f>
        <v>417.51726618705288</v>
      </c>
      <c r="I117" s="46">
        <f>I70</f>
        <v>-133.31007194244739</v>
      </c>
      <c r="J117" s="46">
        <f>I84</f>
        <v>-77.056115107913911</v>
      </c>
      <c r="K117" s="46">
        <f>I97</f>
        <v>-4.5992805755395239</v>
      </c>
      <c r="L117" s="46">
        <f>I110</f>
        <v>-196.32086330935272</v>
      </c>
      <c r="M117" s="5"/>
    </row>
    <row r="118" spans="4:15" x14ac:dyDescent="0.25">
      <c r="D118" s="6"/>
      <c r="E118" s="47" t="s">
        <v>40</v>
      </c>
      <c r="F118" s="51">
        <v>1</v>
      </c>
      <c r="G118" s="50">
        <f>G116/F116</f>
        <v>1.7769291200163582</v>
      </c>
      <c r="H118" s="50">
        <f>H116/F116</f>
        <v>1.6373088171559298</v>
      </c>
      <c r="I118" s="50">
        <f>I116/F116</f>
        <v>1.0435601591062351</v>
      </c>
      <c r="J118" s="50">
        <f>J116/F116</f>
        <v>7.4023955041441311E-2</v>
      </c>
      <c r="K118" s="50">
        <f>K116/F116</f>
        <v>1.4823970370393951</v>
      </c>
      <c r="L118" s="50">
        <f>L116/F116</f>
        <v>3.5172083745934057</v>
      </c>
      <c r="M118" s="5"/>
    </row>
    <row r="119" spans="4:15" x14ac:dyDescent="0.25">
      <c r="D119" s="49"/>
      <c r="E119" s="47" t="s">
        <v>41</v>
      </c>
      <c r="F119" s="51">
        <v>1</v>
      </c>
      <c r="G119" s="50">
        <f t="shared" ref="G119:L119" si="7">1/G118</f>
        <v>0.56276864886473021</v>
      </c>
      <c r="H119" s="50">
        <f t="shared" si="7"/>
        <v>0.61075833069600127</v>
      </c>
      <c r="I119" s="50">
        <f t="shared" si="7"/>
        <v>0.95825812366817209</v>
      </c>
      <c r="J119" s="50">
        <f t="shared" si="7"/>
        <v>13.509140378140611</v>
      </c>
      <c r="K119" s="50">
        <f t="shared" si="7"/>
        <v>0.67458310763840579</v>
      </c>
      <c r="L119" s="50">
        <f t="shared" si="7"/>
        <v>0.28431639342824022</v>
      </c>
      <c r="M119" s="5"/>
    </row>
    <row r="120" spans="4:15" x14ac:dyDescent="0.25">
      <c r="D120" s="49"/>
    </row>
    <row r="121" spans="4:15" x14ac:dyDescent="0.25">
      <c r="D121" s="49"/>
      <c r="E121" s="47" t="s">
        <v>42</v>
      </c>
      <c r="F121" s="50">
        <f>F116/H116</f>
        <v>0.61075833069600127</v>
      </c>
      <c r="G121" s="50">
        <f>G116/H116</f>
        <v>1.0852742631063055</v>
      </c>
      <c r="H121" s="38">
        <v>1</v>
      </c>
      <c r="I121" s="50">
        <f>I116/H116</f>
        <v>0.63736306075657767</v>
      </c>
      <c r="J121" s="50">
        <f>J116/H116</f>
        <v>4.5210747212626544E-2</v>
      </c>
      <c r="K121" s="50">
        <f>K116/H116</f>
        <v>0.90538633977087923</v>
      </c>
      <c r="L121" s="50">
        <f>L116/H116</f>
        <v>2.1481643155766643</v>
      </c>
      <c r="M121" s="5"/>
    </row>
    <row r="122" spans="4:15" x14ac:dyDescent="0.25">
      <c r="D122" s="49"/>
      <c r="E122" s="47" t="s">
        <v>43</v>
      </c>
      <c r="F122" s="50">
        <f>1/F121</f>
        <v>1.6373088171559298</v>
      </c>
      <c r="G122" s="50">
        <f>1/G121</f>
        <v>0.92142607080515215</v>
      </c>
      <c r="H122" s="38">
        <v>1</v>
      </c>
      <c r="I122" s="50">
        <f>1/I121</f>
        <v>1.5689644749931955</v>
      </c>
      <c r="J122" s="50">
        <f>1/J121</f>
        <v>22.118634653326811</v>
      </c>
      <c r="K122" s="50">
        <f>1/K121</f>
        <v>1.1045008700408094</v>
      </c>
      <c r="L122" s="50">
        <f>1/L121</f>
        <v>0.46551373782203193</v>
      </c>
      <c r="M122" s="5"/>
    </row>
    <row r="123" spans="4:15" x14ac:dyDescent="0.25">
      <c r="D123" s="49"/>
      <c r="E123" s="5"/>
      <c r="F123" s="5"/>
      <c r="G123" s="5"/>
      <c r="H123" s="5"/>
      <c r="I123" s="5"/>
      <c r="J123" s="5"/>
      <c r="K123" s="5"/>
      <c r="L123" s="5"/>
      <c r="M123" s="5"/>
    </row>
    <row r="124" spans="4:15" x14ac:dyDescent="0.25">
      <c r="D124" s="49"/>
    </row>
    <row r="125" spans="4:15" x14ac:dyDescent="0.25">
      <c r="D125" s="49"/>
      <c r="E125" s="5"/>
      <c r="F125" s="5"/>
      <c r="G125" s="5"/>
      <c r="H125" s="5"/>
      <c r="I125" s="5"/>
      <c r="J125" s="5"/>
      <c r="K125" s="5"/>
      <c r="L125" s="5"/>
      <c r="M125" s="5"/>
      <c r="N125" s="5"/>
    </row>
    <row r="126" spans="4:15" x14ac:dyDescent="0.25">
      <c r="E126" s="49"/>
      <c r="F126" s="5"/>
      <c r="G126" s="5"/>
      <c r="H126" s="5"/>
      <c r="I126" s="5"/>
      <c r="J126" s="5"/>
      <c r="K126" s="5"/>
      <c r="L126" s="5"/>
      <c r="M126" s="5"/>
    </row>
    <row r="127" spans="4:15" x14ac:dyDescent="0.25">
      <c r="D127" s="49"/>
      <c r="E127" s="5"/>
      <c r="F127" s="5"/>
      <c r="G127" s="39"/>
      <c r="H127" s="39"/>
      <c r="I127" s="39"/>
      <c r="J127" s="39"/>
      <c r="K127" s="39"/>
      <c r="L127" s="39"/>
      <c r="M127" s="39"/>
      <c r="N127" s="40"/>
    </row>
    <row r="128" spans="4:15" x14ac:dyDescent="0.25">
      <c r="G128" s="3"/>
      <c r="H128" s="3"/>
      <c r="I128" s="3"/>
      <c r="J128" s="3"/>
      <c r="K128" s="1"/>
      <c r="L128" s="1"/>
      <c r="M128" s="1"/>
      <c r="N128" s="41"/>
      <c r="O128" s="41">
        <f>100-N128</f>
        <v>100</v>
      </c>
    </row>
    <row r="129" spans="11:11" x14ac:dyDescent="0.25">
      <c r="K129" s="2"/>
    </row>
  </sheetData>
  <mergeCells count="60">
    <mergeCell ref="V4:X5"/>
    <mergeCell ref="E6:L6"/>
    <mergeCell ref="M6:M10"/>
    <mergeCell ref="O6:O10"/>
    <mergeCell ref="P6:Q6"/>
    <mergeCell ref="R6:S6"/>
    <mergeCell ref="T6:U6"/>
    <mergeCell ref="V6:V10"/>
    <mergeCell ref="W6:W10"/>
    <mergeCell ref="X6:X10"/>
    <mergeCell ref="S28:S30"/>
    <mergeCell ref="T28:T30"/>
    <mergeCell ref="U28:U30"/>
    <mergeCell ref="E7:L7"/>
    <mergeCell ref="F8:L8"/>
    <mergeCell ref="F9:L9"/>
    <mergeCell ref="F10:L10"/>
    <mergeCell ref="F11:K11"/>
    <mergeCell ref="E28:H28"/>
    <mergeCell ref="E29:H29"/>
    <mergeCell ref="E30:H30"/>
    <mergeCell ref="E67:H67"/>
    <mergeCell ref="P38:P39"/>
    <mergeCell ref="Q38:Q39"/>
    <mergeCell ref="R38:R39"/>
    <mergeCell ref="P28:P30"/>
    <mergeCell ref="Q28:Q30"/>
    <mergeCell ref="R28:R30"/>
    <mergeCell ref="E107:H107"/>
    <mergeCell ref="E108:H108"/>
    <mergeCell ref="E31:H31"/>
    <mergeCell ref="E32:H32"/>
    <mergeCell ref="P36:R37"/>
    <mergeCell ref="E68:H68"/>
    <mergeCell ref="E41:H41"/>
    <mergeCell ref="E42:H42"/>
    <mergeCell ref="E43:H43"/>
    <mergeCell ref="E44:H44"/>
    <mergeCell ref="E45:H45"/>
    <mergeCell ref="E54:H54"/>
    <mergeCell ref="E55:H55"/>
    <mergeCell ref="E56:H56"/>
    <mergeCell ref="E57:H57"/>
    <mergeCell ref="E58:H58"/>
    <mergeCell ref="E109:H109"/>
    <mergeCell ref="E110:H110"/>
    <mergeCell ref="E111:H111"/>
    <mergeCell ref="E97:H97"/>
    <mergeCell ref="E69:H69"/>
    <mergeCell ref="E70:H70"/>
    <mergeCell ref="E71:H71"/>
    <mergeCell ref="E81:H81"/>
    <mergeCell ref="E82:H82"/>
    <mergeCell ref="E83:H83"/>
    <mergeCell ref="E84:H84"/>
    <mergeCell ref="E85:H85"/>
    <mergeCell ref="E94:H94"/>
    <mergeCell ref="E95:H95"/>
    <mergeCell ref="E96:H96"/>
    <mergeCell ref="E98:H98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28"/>
  <sheetViews>
    <sheetView zoomScaleNormal="100" zoomScaleSheetLayoutView="100" workbookViewId="0">
      <pane xSplit="2" topLeftCell="C1" activePane="topRight" state="frozen"/>
      <selection pane="topRight" activeCell="D10" sqref="D10"/>
    </sheetView>
  </sheetViews>
  <sheetFormatPr defaultRowHeight="15" x14ac:dyDescent="0.25"/>
  <cols>
    <col min="2" max="2" width="27" bestFit="1" customWidth="1"/>
    <col min="3" max="3" width="37.7109375" customWidth="1"/>
    <col min="4" max="7" width="26.140625" bestFit="1" customWidth="1"/>
    <col min="8" max="8" width="26.140625" customWidth="1"/>
    <col min="9" max="9" width="9.85546875" customWidth="1"/>
    <col min="10" max="10" width="16.140625" bestFit="1" customWidth="1"/>
    <col min="12" max="12" width="14.140625" bestFit="1" customWidth="1"/>
    <col min="13" max="13" width="16.140625" bestFit="1" customWidth="1"/>
  </cols>
  <sheetData>
    <row r="2" spans="2:12" ht="15.75" thickBot="1" x14ac:dyDescent="0.3"/>
    <row r="3" spans="2:12" ht="15.75" x14ac:dyDescent="0.25">
      <c r="B3" s="82" t="s">
        <v>54</v>
      </c>
      <c r="C3" s="81" t="str">
        <f>'[1]26-12-2025'!F115</f>
        <v>TABA</v>
      </c>
      <c r="D3" s="81" t="str">
        <f>'[1]26-12-2025'!G115</f>
        <v>4,4-DABA</v>
      </c>
      <c r="E3" s="81" t="str">
        <f>'[1]26-12-2025'!H115</f>
        <v>DAPBI</v>
      </c>
      <c r="F3" s="81" t="str">
        <f>'[1]26-12-2025'!I115</f>
        <v>2-AP 4-AB</v>
      </c>
      <c r="G3" s="81" t="str">
        <f>'[1]26-12-2025'!J115</f>
        <v>2, 4-DAPBA</v>
      </c>
      <c r="H3" s="81" t="str">
        <f>'[1]26-12-2025'!K115</f>
        <v>PABI</v>
      </c>
      <c r="I3" s="80" t="str">
        <f>'[1]26-12-2025'!L115</f>
        <v>4-BIA</v>
      </c>
    </row>
    <row r="4" spans="2:12" ht="15.75" x14ac:dyDescent="0.25">
      <c r="B4" s="79" t="s">
        <v>36</v>
      </c>
      <c r="C4" s="78">
        <f>'08-01-2026'!F116</f>
        <v>101.83191313146074</v>
      </c>
      <c r="D4" s="78">
        <f>'08-01-2026'!G116</f>
        <v>180.94809179026876</v>
      </c>
      <c r="E4" s="78">
        <f>'08-01-2026'!H116</f>
        <v>166.73028923799737</v>
      </c>
      <c r="F4" s="78">
        <f>'08-01-2026'!I116</f>
        <v>106.26772746955949</v>
      </c>
      <c r="G4" s="78">
        <f>'08-01-2026'!J116</f>
        <v>7.5380009594272073</v>
      </c>
      <c r="H4" s="78">
        <f>'08-01-2026'!K116</f>
        <v>150.95532630213046</v>
      </c>
      <c r="I4" s="78">
        <f>'08-01-2026'!L116</f>
        <v>358.16405766684193</v>
      </c>
    </row>
    <row r="5" spans="2:12" ht="16.5" customHeight="1" x14ac:dyDescent="0.25">
      <c r="B5" s="79" t="s">
        <v>45</v>
      </c>
      <c r="C5" s="78">
        <f>'08-01-2026'!F117</f>
        <v>68.878417266190809</v>
      </c>
      <c r="D5" s="78">
        <f>'08-01-2026'!G117</f>
        <v>135.68633093525204</v>
      </c>
      <c r="E5" s="78">
        <f>'08-01-2026'!H117</f>
        <v>417.51726618705288</v>
      </c>
      <c r="F5" s="78">
        <f>'08-01-2026'!I117</f>
        <v>-133.31007194244739</v>
      </c>
      <c r="G5" s="78">
        <f>'08-01-2026'!J117</f>
        <v>-77.056115107913911</v>
      </c>
      <c r="H5" s="78">
        <f>'08-01-2026'!K117</f>
        <v>-4.5992805755395239</v>
      </c>
      <c r="I5" s="78">
        <f>'08-01-2026'!L117</f>
        <v>-196.32086330935272</v>
      </c>
    </row>
    <row r="6" spans="2:12" ht="15.75" x14ac:dyDescent="0.25">
      <c r="B6" s="77"/>
      <c r="C6" s="83"/>
      <c r="D6" s="83"/>
      <c r="E6" s="83"/>
      <c r="F6" s="83"/>
      <c r="G6" s="83"/>
      <c r="H6" s="83"/>
      <c r="I6" s="68"/>
    </row>
    <row r="7" spans="2:12" ht="15.75" x14ac:dyDescent="0.25">
      <c r="B7" s="76">
        <v>46027</v>
      </c>
      <c r="C7" s="75"/>
      <c r="D7" s="75"/>
      <c r="E7" s="75"/>
      <c r="F7" s="83"/>
      <c r="G7" s="83"/>
      <c r="H7" s="83"/>
      <c r="I7" s="68"/>
      <c r="J7" s="121"/>
      <c r="K7" s="121"/>
      <c r="L7" s="121"/>
    </row>
    <row r="8" spans="2:12" ht="15.75" x14ac:dyDescent="0.25">
      <c r="B8" s="74" t="s">
        <v>53</v>
      </c>
      <c r="C8" s="73" t="s">
        <v>65</v>
      </c>
      <c r="D8" s="72" t="s">
        <v>52</v>
      </c>
      <c r="E8" s="72" t="s">
        <v>56</v>
      </c>
      <c r="F8" s="84"/>
      <c r="G8" s="83"/>
      <c r="H8" s="84"/>
      <c r="I8" s="68"/>
      <c r="J8" s="5"/>
      <c r="K8" s="5"/>
      <c r="L8" s="5"/>
    </row>
    <row r="9" spans="2:12" ht="15.75" x14ac:dyDescent="0.25">
      <c r="B9" s="92"/>
      <c r="C9" s="93" t="s">
        <v>51</v>
      </c>
      <c r="D9" s="93" t="s">
        <v>50</v>
      </c>
      <c r="E9" s="93" t="s">
        <v>49</v>
      </c>
      <c r="F9" s="83"/>
      <c r="G9" s="83"/>
      <c r="H9" s="83"/>
      <c r="I9" s="71"/>
      <c r="J9" s="5"/>
      <c r="K9" s="5"/>
      <c r="L9" s="5"/>
    </row>
    <row r="10" spans="2:12" ht="15.75" customHeight="1" x14ac:dyDescent="0.25">
      <c r="B10" s="70" t="s">
        <v>33</v>
      </c>
      <c r="C10" s="69">
        <v>19379</v>
      </c>
      <c r="D10" s="69">
        <f>(C10-$H$5)/$H$4</f>
        <v>128.40619642516035</v>
      </c>
      <c r="E10" s="95">
        <f>D10/10000</f>
        <v>1.2840619642516034E-2</v>
      </c>
      <c r="F10" s="85"/>
      <c r="G10" s="83"/>
      <c r="H10" s="85"/>
      <c r="I10" s="68"/>
      <c r="J10" s="5"/>
      <c r="K10" s="5"/>
      <c r="L10" s="5"/>
    </row>
    <row r="11" spans="2:12" ht="15.75" customHeight="1" x14ac:dyDescent="0.25">
      <c r="B11" s="70" t="s">
        <v>34</v>
      </c>
      <c r="C11" s="69">
        <v>10588</v>
      </c>
      <c r="D11" s="69">
        <f>(C11-$I$5)/$I$4</f>
        <v>30.110003034812454</v>
      </c>
      <c r="E11" s="95">
        <f t="shared" ref="E11:E17" si="0">D11/10000</f>
        <v>3.0110003034812456E-3</v>
      </c>
      <c r="F11" s="85"/>
      <c r="G11" s="83"/>
      <c r="H11" s="85"/>
      <c r="I11" s="68"/>
      <c r="J11" s="5"/>
      <c r="K11" s="5"/>
      <c r="L11" s="5"/>
    </row>
    <row r="12" spans="2:12" ht="15.75" customHeight="1" x14ac:dyDescent="0.25">
      <c r="B12" s="70" t="s">
        <v>57</v>
      </c>
      <c r="C12" s="69">
        <v>4061</v>
      </c>
      <c r="D12" s="69">
        <f>(C12-$E$5)/$E$4</f>
        <v>21.852554508629783</v>
      </c>
      <c r="E12" s="95">
        <f t="shared" si="0"/>
        <v>2.1852554508629781E-3</v>
      </c>
      <c r="F12" s="85"/>
      <c r="G12" s="83"/>
      <c r="H12" s="85"/>
      <c r="I12" s="68"/>
      <c r="J12" s="5"/>
      <c r="K12" s="5"/>
      <c r="L12" s="5"/>
    </row>
    <row r="13" spans="2:12" ht="15.75" customHeight="1" x14ac:dyDescent="0.25">
      <c r="B13" s="70" t="s">
        <v>58</v>
      </c>
      <c r="C13" s="69">
        <v>17484</v>
      </c>
      <c r="D13" s="69">
        <f t="shared" ref="D13:D17" si="1">(C13-$E$5)/$E$4</f>
        <v>102.35982203240576</v>
      </c>
      <c r="E13" s="95">
        <f t="shared" si="0"/>
        <v>1.0235982203240577E-2</v>
      </c>
      <c r="F13" s="85"/>
      <c r="G13" s="83"/>
      <c r="H13" s="85"/>
      <c r="I13" s="68"/>
      <c r="J13" s="5"/>
      <c r="K13" s="5"/>
      <c r="L13" s="5"/>
    </row>
    <row r="14" spans="2:12" ht="15.75" customHeight="1" x14ac:dyDescent="0.25">
      <c r="B14" s="70" t="s">
        <v>59</v>
      </c>
      <c r="C14" s="69">
        <v>8736</v>
      </c>
      <c r="D14" s="69">
        <f t="shared" si="1"/>
        <v>49.891850915815411</v>
      </c>
      <c r="E14" s="95">
        <f t="shared" si="0"/>
        <v>4.9891850915815411E-3</v>
      </c>
      <c r="F14" s="85"/>
      <c r="G14" s="83"/>
      <c r="H14" s="85"/>
      <c r="I14" s="68"/>
      <c r="J14" s="5"/>
      <c r="K14" s="5"/>
      <c r="L14" s="5"/>
    </row>
    <row r="15" spans="2:12" ht="15.75" customHeight="1" x14ac:dyDescent="0.25">
      <c r="B15" s="70" t="s">
        <v>60</v>
      </c>
      <c r="C15" s="69">
        <v>3787</v>
      </c>
      <c r="D15" s="69">
        <f t="shared" si="1"/>
        <v>20.209181842197939</v>
      </c>
      <c r="E15" s="95">
        <f t="shared" si="0"/>
        <v>2.020918184219794E-3</v>
      </c>
      <c r="F15" s="85"/>
      <c r="G15" s="83"/>
      <c r="H15" s="85"/>
      <c r="I15" s="68"/>
      <c r="J15" s="5"/>
      <c r="K15" s="5"/>
      <c r="L15" s="5"/>
    </row>
    <row r="16" spans="2:12" ht="19.5" customHeight="1" x14ac:dyDescent="0.25">
      <c r="B16" s="70" t="s">
        <v>61</v>
      </c>
      <c r="C16" s="69">
        <v>5310</v>
      </c>
      <c r="D16" s="69">
        <f t="shared" si="1"/>
        <v>29.343694874955954</v>
      </c>
      <c r="E16" s="95">
        <f t="shared" si="0"/>
        <v>2.9343694874955956E-3</v>
      </c>
      <c r="F16" s="85"/>
      <c r="G16" s="83"/>
      <c r="H16" s="85"/>
      <c r="I16" s="68"/>
      <c r="J16" s="5"/>
      <c r="K16" s="5"/>
      <c r="L16" s="5"/>
    </row>
    <row r="17" spans="2:12" ht="19.5" customHeight="1" x14ac:dyDescent="0.25">
      <c r="B17" s="70" t="s">
        <v>62</v>
      </c>
      <c r="C17" s="69">
        <v>21751</v>
      </c>
      <c r="D17" s="69">
        <f t="shared" si="1"/>
        <v>127.95205257132791</v>
      </c>
      <c r="E17" s="95">
        <f t="shared" si="0"/>
        <v>1.2795205257132791E-2</v>
      </c>
      <c r="F17" s="85"/>
      <c r="G17" s="83"/>
      <c r="H17" s="85"/>
      <c r="I17" s="68"/>
      <c r="J17" s="5"/>
      <c r="K17" s="5"/>
      <c r="L17" s="5"/>
    </row>
    <row r="18" spans="2:12" ht="15.75" customHeight="1" x14ac:dyDescent="0.25">
      <c r="B18" s="94"/>
      <c r="C18" s="89"/>
      <c r="D18" s="90"/>
      <c r="E18" s="91"/>
      <c r="F18" s="85"/>
      <c r="G18" s="83"/>
      <c r="H18" s="85"/>
      <c r="I18" s="68"/>
      <c r="J18" s="5"/>
      <c r="K18" s="5"/>
      <c r="L18" s="5"/>
    </row>
    <row r="19" spans="2:12" s="60" customFormat="1" ht="15.75" x14ac:dyDescent="0.25">
      <c r="B19" s="67" t="s">
        <v>48</v>
      </c>
      <c r="C19" s="66"/>
      <c r="D19" s="65">
        <f>SUM(D12:D17)</f>
        <v>351.60915674533277</v>
      </c>
      <c r="E19" s="64">
        <f>D19/10000</f>
        <v>3.5160915674533277E-2</v>
      </c>
      <c r="F19" s="86"/>
      <c r="G19" s="87"/>
      <c r="H19" s="88"/>
      <c r="I19" s="63"/>
      <c r="J19" s="62"/>
      <c r="K19" s="62"/>
      <c r="L19" s="61"/>
    </row>
    <row r="20" spans="2:12" s="60" customFormat="1" ht="15.75" x14ac:dyDescent="0.25">
      <c r="B20" s="67" t="s">
        <v>47</v>
      </c>
      <c r="C20" s="66"/>
      <c r="D20" s="65">
        <f>D19+D10+D11</f>
        <v>510.12535620530554</v>
      </c>
      <c r="E20" s="64">
        <f>D20/10000</f>
        <v>5.1012535620530555E-2</v>
      </c>
      <c r="F20" s="86"/>
      <c r="G20" s="87"/>
      <c r="H20" s="88"/>
      <c r="I20" s="63"/>
      <c r="J20" s="62"/>
      <c r="K20" s="62"/>
      <c r="L20" s="61"/>
    </row>
    <row r="21" spans="2:12" ht="16.5" thickBot="1" x14ac:dyDescent="0.3">
      <c r="B21" s="59" t="s">
        <v>46</v>
      </c>
      <c r="C21" s="122"/>
      <c r="D21" s="122"/>
      <c r="E21" s="58">
        <f>100-E20</f>
        <v>99.948987464379471</v>
      </c>
      <c r="F21" s="57"/>
      <c r="G21" s="56"/>
      <c r="H21" s="55"/>
      <c r="I21" s="54"/>
      <c r="J21" s="5"/>
      <c r="K21" s="5"/>
      <c r="L21" s="3"/>
    </row>
    <row r="28" spans="2:12" x14ac:dyDescent="0.25">
      <c r="D28" s="53"/>
    </row>
  </sheetData>
  <mergeCells count="2">
    <mergeCell ref="J7:L7"/>
    <mergeCell ref="C21:D21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L28"/>
  <sheetViews>
    <sheetView zoomScaleNormal="100" zoomScaleSheetLayoutView="100" workbookViewId="0">
      <pane xSplit="2" topLeftCell="C1" activePane="topRight" state="frozen"/>
      <selection pane="topRight" activeCell="D10" sqref="D10"/>
    </sheetView>
  </sheetViews>
  <sheetFormatPr defaultRowHeight="15" x14ac:dyDescent="0.25"/>
  <cols>
    <col min="2" max="2" width="27" bestFit="1" customWidth="1"/>
    <col min="3" max="3" width="37.7109375" customWidth="1"/>
    <col min="4" max="7" width="26.140625" bestFit="1" customWidth="1"/>
    <col min="8" max="8" width="26.140625" customWidth="1"/>
    <col min="9" max="9" width="9.85546875" customWidth="1"/>
    <col min="10" max="10" width="16.140625" bestFit="1" customWidth="1"/>
    <col min="12" max="12" width="14.140625" bestFit="1" customWidth="1"/>
    <col min="13" max="13" width="16.140625" bestFit="1" customWidth="1"/>
  </cols>
  <sheetData>
    <row r="2" spans="2:12" ht="15.75" thickBot="1" x14ac:dyDescent="0.3"/>
    <row r="3" spans="2:12" ht="15.75" x14ac:dyDescent="0.25">
      <c r="B3" s="82" t="s">
        <v>54</v>
      </c>
      <c r="C3" s="81" t="str">
        <f>'[1]26-12-2025'!F115</f>
        <v>TABA</v>
      </c>
      <c r="D3" s="81" t="str">
        <f>'[1]26-12-2025'!G115</f>
        <v>4,4-DABA</v>
      </c>
      <c r="E3" s="81" t="str">
        <f>'[1]26-12-2025'!H115</f>
        <v>DAPBI</v>
      </c>
      <c r="F3" s="81" t="str">
        <f>'[1]26-12-2025'!I115</f>
        <v>2-AP 4-AB</v>
      </c>
      <c r="G3" s="81" t="str">
        <f>'[1]26-12-2025'!J115</f>
        <v>2, 4-DAPBA</v>
      </c>
      <c r="H3" s="81" t="str">
        <f>'[1]26-12-2025'!K115</f>
        <v>PABI</v>
      </c>
      <c r="I3" s="80" t="str">
        <f>'[1]26-12-2025'!L115</f>
        <v>4-BIA</v>
      </c>
    </row>
    <row r="4" spans="2:12" ht="15.75" x14ac:dyDescent="0.25">
      <c r="B4" s="79" t="s">
        <v>36</v>
      </c>
      <c r="C4" s="78">
        <f>'SA-002 APB A03 33'!C4</f>
        <v>101.83191313146074</v>
      </c>
      <c r="D4" s="78">
        <f>'SA-002 APB A03 33'!D4</f>
        <v>180.94809179026876</v>
      </c>
      <c r="E4" s="78">
        <f>'SA-002 APB A03 33'!E4</f>
        <v>166.73028923799737</v>
      </c>
      <c r="F4" s="78">
        <f>'SA-002 APB A03 33'!F4</f>
        <v>106.26772746955949</v>
      </c>
      <c r="G4" s="78">
        <f>'SA-002 APB A03 33'!G4</f>
        <v>7.5380009594272073</v>
      </c>
      <c r="H4" s="78">
        <f>'SA-002 APB A03 33'!H4</f>
        <v>150.95532630213046</v>
      </c>
      <c r="I4" s="78">
        <f>'SA-002 APB A03 33'!I4</f>
        <v>358.16405766684193</v>
      </c>
    </row>
    <row r="5" spans="2:12" ht="16.5" customHeight="1" x14ac:dyDescent="0.25">
      <c r="B5" s="79" t="s">
        <v>45</v>
      </c>
      <c r="C5" s="78">
        <f>'SA-002 APB A03 33'!C5</f>
        <v>68.878417266190809</v>
      </c>
      <c r="D5" s="78">
        <f>'SA-002 APB A03 33'!D5</f>
        <v>135.68633093525204</v>
      </c>
      <c r="E5" s="78">
        <f>'SA-002 APB A03 33'!E5</f>
        <v>417.51726618705288</v>
      </c>
      <c r="F5" s="78">
        <f>'SA-002 APB A03 33'!F5</f>
        <v>-133.31007194244739</v>
      </c>
      <c r="G5" s="78">
        <f>'SA-002 APB A03 33'!G5</f>
        <v>-77.056115107913911</v>
      </c>
      <c r="H5" s="78">
        <f>'SA-002 APB A03 33'!H5</f>
        <v>-4.5992805755395239</v>
      </c>
      <c r="I5" s="78">
        <f>'SA-002 APB A03 33'!I5</f>
        <v>-196.32086330935272</v>
      </c>
    </row>
    <row r="6" spans="2:12" ht="15.75" x14ac:dyDescent="0.25">
      <c r="B6" s="77"/>
      <c r="C6" s="83"/>
      <c r="D6" s="83"/>
      <c r="E6" s="83"/>
      <c r="F6" s="83"/>
      <c r="G6" s="83"/>
      <c r="H6" s="83"/>
      <c r="I6" s="68"/>
    </row>
    <row r="7" spans="2:12" ht="15.75" x14ac:dyDescent="0.25">
      <c r="B7" s="76">
        <v>46027</v>
      </c>
      <c r="C7" s="75"/>
      <c r="D7" s="75"/>
      <c r="E7" s="75"/>
      <c r="F7" s="83"/>
      <c r="G7" s="83"/>
      <c r="H7" s="83"/>
      <c r="I7" s="68"/>
      <c r="J7" s="121"/>
      <c r="K7" s="121"/>
      <c r="L7" s="121"/>
    </row>
    <row r="8" spans="2:12" ht="15.75" x14ac:dyDescent="0.25">
      <c r="B8" s="74" t="s">
        <v>53</v>
      </c>
      <c r="C8" s="73" t="s">
        <v>63</v>
      </c>
      <c r="D8" s="72" t="s">
        <v>52</v>
      </c>
      <c r="E8" s="72" t="s">
        <v>64</v>
      </c>
      <c r="F8" s="84"/>
      <c r="G8" s="83"/>
      <c r="H8" s="84"/>
      <c r="I8" s="68"/>
      <c r="J8" s="5"/>
      <c r="K8" s="5"/>
      <c r="L8" s="5"/>
    </row>
    <row r="9" spans="2:12" ht="15.75" x14ac:dyDescent="0.25">
      <c r="B9" s="92"/>
      <c r="C9" s="93" t="s">
        <v>51</v>
      </c>
      <c r="D9" s="93" t="s">
        <v>50</v>
      </c>
      <c r="E9" s="93" t="s">
        <v>49</v>
      </c>
      <c r="F9" s="83"/>
      <c r="G9" s="83"/>
      <c r="H9" s="83"/>
      <c r="I9" s="71"/>
      <c r="J9" s="5"/>
      <c r="K9" s="5"/>
      <c r="L9" s="5"/>
    </row>
    <row r="10" spans="2:12" ht="15.75" customHeight="1" x14ac:dyDescent="0.25">
      <c r="B10" s="70" t="s">
        <v>33</v>
      </c>
      <c r="C10" s="69">
        <v>20118</v>
      </c>
      <c r="D10" s="69">
        <f>(C10-$H$5)/$H$4</f>
        <v>133.3016845016852</v>
      </c>
      <c r="E10" s="95">
        <f>D10/10000</f>
        <v>1.333016845016852E-2</v>
      </c>
      <c r="F10" s="85"/>
      <c r="G10" s="83"/>
      <c r="H10" s="85"/>
      <c r="I10" s="68"/>
      <c r="J10" s="5"/>
      <c r="K10" s="5"/>
      <c r="L10" s="5"/>
    </row>
    <row r="11" spans="2:12" ht="15.75" customHeight="1" x14ac:dyDescent="0.25">
      <c r="B11" s="70" t="s">
        <v>34</v>
      </c>
      <c r="C11" s="69">
        <v>17183</v>
      </c>
      <c r="D11" s="69">
        <f>(C11-$I$5)/$I$4</f>
        <v>48.523352612548578</v>
      </c>
      <c r="E11" s="95">
        <f t="shared" ref="E11:E17" si="0">D11/10000</f>
        <v>4.8523352612548582E-3</v>
      </c>
      <c r="F11" s="85"/>
      <c r="G11" s="83"/>
      <c r="H11" s="85"/>
      <c r="I11" s="68"/>
      <c r="J11" s="5"/>
      <c r="K11" s="5"/>
      <c r="L11" s="5"/>
    </row>
    <row r="12" spans="2:12" ht="15.75" customHeight="1" x14ac:dyDescent="0.25">
      <c r="B12" s="70" t="s">
        <v>66</v>
      </c>
      <c r="C12" s="69">
        <v>15542</v>
      </c>
      <c r="D12" s="69">
        <f>(C12-$E$5)/$E$4</f>
        <v>90.712268316308538</v>
      </c>
      <c r="E12" s="95">
        <f t="shared" si="0"/>
        <v>9.0712268316308544E-3</v>
      </c>
      <c r="F12" s="85"/>
      <c r="G12" s="83"/>
      <c r="H12" s="85"/>
      <c r="I12" s="68"/>
      <c r="J12" s="5"/>
      <c r="K12" s="5"/>
      <c r="L12" s="5"/>
    </row>
    <row r="13" spans="2:12" ht="15.75" customHeight="1" x14ac:dyDescent="0.25">
      <c r="B13" s="70" t="s">
        <v>59</v>
      </c>
      <c r="C13" s="69">
        <v>11575</v>
      </c>
      <c r="D13" s="69">
        <f t="shared" ref="D13:D16" si="1">(C13-$E$5)/$E$4</f>
        <v>66.919350915815414</v>
      </c>
      <c r="E13" s="95">
        <f t="shared" si="0"/>
        <v>6.6919350915815414E-3</v>
      </c>
      <c r="F13" s="85"/>
      <c r="G13" s="83"/>
      <c r="H13" s="85"/>
      <c r="I13" s="68"/>
      <c r="J13" s="5"/>
      <c r="K13" s="5"/>
      <c r="L13" s="5"/>
    </row>
    <row r="14" spans="2:12" ht="15.75" customHeight="1" x14ac:dyDescent="0.25">
      <c r="B14" s="70" t="s">
        <v>60</v>
      </c>
      <c r="C14" s="69">
        <v>4593</v>
      </c>
      <c r="D14" s="69">
        <f t="shared" si="1"/>
        <v>25.043336474110585</v>
      </c>
      <c r="E14" s="95">
        <f t="shared" si="0"/>
        <v>2.5043336474110584E-3</v>
      </c>
      <c r="F14" s="85"/>
      <c r="G14" s="83"/>
      <c r="H14" s="85"/>
      <c r="I14" s="68"/>
      <c r="J14" s="5"/>
      <c r="K14" s="5"/>
      <c r="L14" s="5"/>
    </row>
    <row r="15" spans="2:12" ht="15.75" customHeight="1" x14ac:dyDescent="0.25">
      <c r="B15" s="70" t="s">
        <v>62</v>
      </c>
      <c r="C15" s="69">
        <v>15254</v>
      </c>
      <c r="D15" s="69">
        <f t="shared" si="1"/>
        <v>88.984927703416673</v>
      </c>
      <c r="E15" s="95">
        <f t="shared" si="0"/>
        <v>8.8984927703416681E-3</v>
      </c>
      <c r="F15" s="85"/>
      <c r="G15" s="83"/>
      <c r="H15" s="85"/>
      <c r="I15" s="68"/>
      <c r="J15" s="5"/>
      <c r="K15" s="5"/>
      <c r="L15" s="5"/>
    </row>
    <row r="16" spans="2:12" ht="19.5" customHeight="1" x14ac:dyDescent="0.25">
      <c r="B16" s="70" t="s">
        <v>55</v>
      </c>
      <c r="C16" s="69">
        <v>4266</v>
      </c>
      <c r="D16" s="69">
        <f t="shared" si="1"/>
        <v>23.082085153222948</v>
      </c>
      <c r="E16" s="95">
        <f t="shared" si="0"/>
        <v>2.3082085153222948E-3</v>
      </c>
      <c r="F16" s="85"/>
      <c r="G16" s="83"/>
      <c r="H16" s="85"/>
      <c r="I16" s="68"/>
      <c r="J16" s="5"/>
      <c r="K16" s="5"/>
      <c r="L16" s="5"/>
    </row>
    <row r="17" spans="2:12" ht="19.5" customHeight="1" x14ac:dyDescent="0.25">
      <c r="B17" s="70" t="s">
        <v>67</v>
      </c>
      <c r="C17" s="69">
        <v>5166</v>
      </c>
      <c r="D17" s="69">
        <f>(C17-$E$5)/$E$4</f>
        <v>28.480024568510022</v>
      </c>
      <c r="E17" s="95">
        <f t="shared" si="0"/>
        <v>2.848002456851002E-3</v>
      </c>
      <c r="F17" s="85"/>
      <c r="G17" s="83"/>
      <c r="H17" s="85"/>
      <c r="I17" s="68"/>
      <c r="J17" s="5"/>
      <c r="K17" s="5"/>
      <c r="L17" s="5"/>
    </row>
    <row r="18" spans="2:12" ht="15.75" customHeight="1" x14ac:dyDescent="0.25">
      <c r="B18" s="94"/>
      <c r="C18" s="89"/>
      <c r="D18" s="90"/>
      <c r="E18" s="91"/>
      <c r="F18" s="85"/>
      <c r="G18" s="83"/>
      <c r="H18" s="85"/>
      <c r="I18" s="68"/>
      <c r="J18" s="5"/>
      <c r="K18" s="5"/>
      <c r="L18" s="5"/>
    </row>
    <row r="19" spans="2:12" s="60" customFormat="1" ht="15.75" x14ac:dyDescent="0.25">
      <c r="B19" s="67" t="s">
        <v>48</v>
      </c>
      <c r="C19" s="66"/>
      <c r="D19" s="65">
        <f>SUM(D12:D17)</f>
        <v>323.22199313138418</v>
      </c>
      <c r="E19" s="64">
        <f>D19/10000</f>
        <v>3.2322199313138421E-2</v>
      </c>
      <c r="F19" s="86"/>
      <c r="G19" s="87"/>
      <c r="H19" s="88"/>
      <c r="I19" s="63"/>
      <c r="J19" s="62"/>
      <c r="K19" s="62"/>
      <c r="L19" s="61"/>
    </row>
    <row r="20" spans="2:12" s="60" customFormat="1" ht="15.75" x14ac:dyDescent="0.25">
      <c r="B20" s="67" t="s">
        <v>47</v>
      </c>
      <c r="C20" s="66"/>
      <c r="D20" s="65">
        <f>D19+D10+D11</f>
        <v>505.04703024561798</v>
      </c>
      <c r="E20" s="64">
        <f>D20/10000</f>
        <v>5.0504703024561795E-2</v>
      </c>
      <c r="F20" s="86"/>
      <c r="G20" s="87"/>
      <c r="H20" s="88"/>
      <c r="I20" s="63"/>
      <c r="J20" s="62"/>
      <c r="K20" s="62"/>
      <c r="L20" s="61"/>
    </row>
    <row r="21" spans="2:12" ht="16.5" thickBot="1" x14ac:dyDescent="0.3">
      <c r="B21" s="59" t="s">
        <v>46</v>
      </c>
      <c r="C21" s="122"/>
      <c r="D21" s="122"/>
      <c r="E21" s="58">
        <f>100-E20</f>
        <v>99.949495296975442</v>
      </c>
      <c r="F21" s="57"/>
      <c r="G21" s="56"/>
      <c r="H21" s="55"/>
      <c r="I21" s="54"/>
      <c r="J21" s="5"/>
      <c r="K21" s="5"/>
      <c r="L21" s="3"/>
    </row>
    <row r="28" spans="2:12" x14ac:dyDescent="0.25">
      <c r="D28" s="53"/>
    </row>
  </sheetData>
  <mergeCells count="2">
    <mergeCell ref="J7:L7"/>
    <mergeCell ref="C21:D21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41AD4-F50F-4208-A708-4BF61448236E}">
  <sheetPr>
    <pageSetUpPr fitToPage="1"/>
  </sheetPr>
  <dimension ref="B2:L32"/>
  <sheetViews>
    <sheetView zoomScaleNormal="100" zoomScaleSheetLayoutView="100" workbookViewId="0">
      <pane xSplit="2" topLeftCell="C1" activePane="topRight" state="frozen"/>
      <selection pane="topRight" activeCell="D11" sqref="D11"/>
    </sheetView>
  </sheetViews>
  <sheetFormatPr defaultRowHeight="15" x14ac:dyDescent="0.25"/>
  <cols>
    <col min="2" max="2" width="27" bestFit="1" customWidth="1"/>
    <col min="3" max="3" width="37.7109375" customWidth="1"/>
    <col min="4" max="7" width="26.140625" bestFit="1" customWidth="1"/>
    <col min="8" max="8" width="26.140625" customWidth="1"/>
    <col min="9" max="9" width="9.85546875" customWidth="1"/>
    <col min="10" max="10" width="16.140625" bestFit="1" customWidth="1"/>
    <col min="12" max="12" width="14.140625" bestFit="1" customWidth="1"/>
    <col min="13" max="13" width="16.140625" bestFit="1" customWidth="1"/>
  </cols>
  <sheetData>
    <row r="2" spans="2:12" ht="15.75" thickBot="1" x14ac:dyDescent="0.3"/>
    <row r="3" spans="2:12" ht="15.75" x14ac:dyDescent="0.25">
      <c r="B3" s="82" t="s">
        <v>54</v>
      </c>
      <c r="C3" s="81" t="str">
        <f>'[1]26-12-2025'!F115</f>
        <v>TABA</v>
      </c>
      <c r="D3" s="81" t="str">
        <f>'[1]26-12-2025'!G115</f>
        <v>4,4-DABA</v>
      </c>
      <c r="E3" s="81" t="str">
        <f>'[1]26-12-2025'!H115</f>
        <v>DAPBI</v>
      </c>
      <c r="F3" s="81" t="str">
        <f>'[1]26-12-2025'!I115</f>
        <v>2-AP 4-AB</v>
      </c>
      <c r="G3" s="81" t="str">
        <f>'[1]26-12-2025'!J115</f>
        <v>2, 4-DAPBA</v>
      </c>
      <c r="H3" s="81" t="str">
        <f>'[1]26-12-2025'!K115</f>
        <v>PABI</v>
      </c>
      <c r="I3" s="80" t="str">
        <f>'[1]26-12-2025'!L115</f>
        <v>4-BIA</v>
      </c>
    </row>
    <row r="4" spans="2:12" ht="15.75" x14ac:dyDescent="0.25">
      <c r="B4" s="79" t="s">
        <v>36</v>
      </c>
      <c r="C4" s="78">
        <f>'08-01-2026'!F116</f>
        <v>101.83191313146074</v>
      </c>
      <c r="D4" s="78">
        <f>'08-01-2026'!G116</f>
        <v>180.94809179026876</v>
      </c>
      <c r="E4" s="78">
        <f>'08-01-2026'!H116</f>
        <v>166.73028923799737</v>
      </c>
      <c r="F4" s="78">
        <f>'08-01-2026'!I116</f>
        <v>106.26772746955949</v>
      </c>
      <c r="G4" s="78">
        <f>'08-01-2026'!J116</f>
        <v>7.5380009594272073</v>
      </c>
      <c r="H4" s="78">
        <f>'08-01-2026'!K116</f>
        <v>150.95532630213046</v>
      </c>
      <c r="I4" s="78">
        <f>'08-01-2026'!L116</f>
        <v>358.16405766684193</v>
      </c>
    </row>
    <row r="5" spans="2:12" ht="16.5" customHeight="1" x14ac:dyDescent="0.25">
      <c r="B5" s="79" t="s">
        <v>45</v>
      </c>
      <c r="C5" s="78">
        <f>'08-01-2026'!F117</f>
        <v>68.878417266190809</v>
      </c>
      <c r="D5" s="78">
        <f>'08-01-2026'!G117</f>
        <v>135.68633093525204</v>
      </c>
      <c r="E5" s="78">
        <f>'08-01-2026'!H117</f>
        <v>417.51726618705288</v>
      </c>
      <c r="F5" s="78">
        <f>'08-01-2026'!I117</f>
        <v>-133.31007194244739</v>
      </c>
      <c r="G5" s="78">
        <f>'08-01-2026'!J117</f>
        <v>-77.056115107913911</v>
      </c>
      <c r="H5" s="78">
        <f>'08-01-2026'!K117</f>
        <v>-4.5992805755395239</v>
      </c>
      <c r="I5" s="78">
        <f>'08-01-2026'!L117</f>
        <v>-196.32086330935272</v>
      </c>
    </row>
    <row r="6" spans="2:12" ht="15.75" x14ac:dyDescent="0.25">
      <c r="B6" s="77"/>
      <c r="C6" s="83"/>
      <c r="D6" s="83"/>
      <c r="E6" s="83"/>
      <c r="F6" s="83"/>
      <c r="G6" s="83"/>
      <c r="H6" s="83"/>
      <c r="I6" s="68"/>
    </row>
    <row r="7" spans="2:12" ht="15.75" x14ac:dyDescent="0.25">
      <c r="B7" s="76">
        <v>46027</v>
      </c>
      <c r="C7" s="75"/>
      <c r="D7" s="75"/>
      <c r="E7" s="75"/>
      <c r="F7" s="83"/>
      <c r="G7" s="83"/>
      <c r="H7" s="83"/>
      <c r="I7" s="68"/>
      <c r="J7" s="121"/>
      <c r="K7" s="121"/>
      <c r="L7" s="121"/>
    </row>
    <row r="8" spans="2:12" ht="15.75" x14ac:dyDescent="0.25">
      <c r="B8" s="74" t="s">
        <v>53</v>
      </c>
      <c r="C8" s="73" t="s">
        <v>68</v>
      </c>
      <c r="D8" s="72" t="s">
        <v>52</v>
      </c>
      <c r="E8" s="72" t="s">
        <v>69</v>
      </c>
      <c r="F8" s="84"/>
      <c r="G8" s="83"/>
      <c r="H8" s="84"/>
      <c r="I8" s="68"/>
      <c r="J8" s="5"/>
      <c r="K8" s="5"/>
      <c r="L8" s="5"/>
    </row>
    <row r="9" spans="2:12" ht="15.75" x14ac:dyDescent="0.25">
      <c r="B9" s="92"/>
      <c r="C9" s="93" t="s">
        <v>51</v>
      </c>
      <c r="D9" s="93" t="s">
        <v>50</v>
      </c>
      <c r="E9" s="93" t="s">
        <v>49</v>
      </c>
      <c r="F9" s="83"/>
      <c r="G9" s="83"/>
      <c r="H9" s="83"/>
      <c r="I9" s="71"/>
      <c r="J9" s="5"/>
      <c r="K9" s="5"/>
      <c r="L9" s="5"/>
    </row>
    <row r="10" spans="2:12" ht="15.75" customHeight="1" x14ac:dyDescent="0.25">
      <c r="B10" s="70" t="s">
        <v>33</v>
      </c>
      <c r="C10" s="69">
        <v>29661</v>
      </c>
      <c r="D10" s="69">
        <f>(C10-$H$5)/$H$4</f>
        <v>196.51906300544272</v>
      </c>
      <c r="E10" s="95">
        <f>D10/10000</f>
        <v>1.965190630054427E-2</v>
      </c>
      <c r="F10" s="85"/>
      <c r="G10" s="83"/>
      <c r="H10" s="85"/>
      <c r="I10" s="68"/>
      <c r="J10" s="5"/>
      <c r="K10" s="5"/>
      <c r="L10" s="5"/>
    </row>
    <row r="11" spans="2:12" ht="15.75" customHeight="1" x14ac:dyDescent="0.25">
      <c r="B11" s="70" t="s">
        <v>34</v>
      </c>
      <c r="C11" s="69">
        <v>11793</v>
      </c>
      <c r="D11" s="69">
        <f>(C11-$I$5)/$I$4</f>
        <v>33.474383056218372</v>
      </c>
      <c r="E11" s="95">
        <f t="shared" ref="E11:E21" si="0">D11/10000</f>
        <v>3.3474383056218372E-3</v>
      </c>
      <c r="F11" s="85"/>
      <c r="G11" s="83"/>
      <c r="H11" s="85"/>
      <c r="I11" s="68"/>
      <c r="J11" s="5"/>
      <c r="K11" s="5"/>
      <c r="L11" s="5"/>
    </row>
    <row r="12" spans="2:12" ht="15.75" customHeight="1" x14ac:dyDescent="0.25">
      <c r="B12" s="70" t="s">
        <v>70</v>
      </c>
      <c r="C12" s="84">
        <v>12820</v>
      </c>
      <c r="D12" s="69">
        <f>(C12-$E$5)/$E$4</f>
        <v>74.386500440295862</v>
      </c>
      <c r="E12" s="95">
        <f t="shared" si="0"/>
        <v>7.4386500440295862E-3</v>
      </c>
      <c r="F12" s="85"/>
      <c r="G12" s="83"/>
      <c r="H12" s="85"/>
      <c r="I12" s="68"/>
      <c r="J12" s="5"/>
      <c r="K12" s="5"/>
      <c r="L12" s="5"/>
    </row>
    <row r="13" spans="2:12" ht="15.75" customHeight="1" x14ac:dyDescent="0.25">
      <c r="B13" s="70" t="s">
        <v>71</v>
      </c>
      <c r="C13" s="69">
        <v>20205</v>
      </c>
      <c r="D13" s="69">
        <f t="shared" ref="D13:D21" si="1">(C13-$E$5)/$E$4</f>
        <v>118.67959219795701</v>
      </c>
      <c r="E13" s="95">
        <f t="shared" si="0"/>
        <v>1.18679592197957E-2</v>
      </c>
      <c r="F13" s="85"/>
      <c r="G13" s="83"/>
      <c r="H13" s="85"/>
      <c r="I13" s="68"/>
      <c r="J13" s="5"/>
      <c r="K13" s="5"/>
      <c r="L13" s="5"/>
    </row>
    <row r="14" spans="2:12" ht="15.75" customHeight="1" x14ac:dyDescent="0.25">
      <c r="B14" s="70" t="s">
        <v>72</v>
      </c>
      <c r="C14" s="69">
        <v>57840</v>
      </c>
      <c r="D14" s="69">
        <f t="shared" si="1"/>
        <v>344.4034254138781</v>
      </c>
      <c r="E14" s="95">
        <f t="shared" si="0"/>
        <v>3.4440342541387808E-2</v>
      </c>
      <c r="F14" s="85"/>
      <c r="G14" s="83"/>
      <c r="H14" s="85"/>
      <c r="I14" s="68"/>
      <c r="J14" s="5"/>
      <c r="K14" s="5"/>
      <c r="L14" s="5"/>
    </row>
    <row r="15" spans="2:12" ht="15.75" customHeight="1" x14ac:dyDescent="0.25">
      <c r="B15" s="70" t="s">
        <v>73</v>
      </c>
      <c r="C15" s="69">
        <v>24515</v>
      </c>
      <c r="D15" s="69">
        <f t="shared" si="1"/>
        <v>144.52972428672066</v>
      </c>
      <c r="E15" s="95">
        <f t="shared" si="0"/>
        <v>1.4452972428672066E-2</v>
      </c>
      <c r="F15" s="85"/>
      <c r="G15" s="83"/>
      <c r="H15" s="85"/>
      <c r="I15" s="68"/>
      <c r="J15" s="5"/>
      <c r="K15" s="5"/>
      <c r="L15" s="5"/>
    </row>
    <row r="16" spans="2:12" ht="19.5" customHeight="1" x14ac:dyDescent="0.25">
      <c r="B16" s="70" t="s">
        <v>74</v>
      </c>
      <c r="C16" s="69">
        <v>27245</v>
      </c>
      <c r="D16" s="69">
        <f t="shared" si="1"/>
        <v>160.90347384642476</v>
      </c>
      <c r="E16" s="95">
        <f t="shared" si="0"/>
        <v>1.6090347384642475E-2</v>
      </c>
      <c r="F16" s="85"/>
      <c r="G16" s="83"/>
      <c r="H16" s="85"/>
      <c r="I16" s="68"/>
      <c r="J16" s="5"/>
      <c r="K16" s="5"/>
      <c r="L16" s="5"/>
    </row>
    <row r="17" spans="2:12" ht="19.5" customHeight="1" x14ac:dyDescent="0.25">
      <c r="B17" s="70" t="s">
        <v>75</v>
      </c>
      <c r="C17" s="69">
        <v>14088</v>
      </c>
      <c r="D17" s="69">
        <f t="shared" si="1"/>
        <v>81.991597305389206</v>
      </c>
      <c r="E17" s="95">
        <f t="shared" si="0"/>
        <v>8.1991597305389203E-3</v>
      </c>
      <c r="F17" s="85"/>
      <c r="G17" s="83"/>
      <c r="H17" s="85"/>
      <c r="I17" s="68"/>
      <c r="J17" s="5"/>
      <c r="K17" s="5"/>
      <c r="L17" s="5"/>
    </row>
    <row r="18" spans="2:12" ht="19.5" customHeight="1" x14ac:dyDescent="0.25">
      <c r="B18" s="70" t="s">
        <v>76</v>
      </c>
      <c r="C18" s="69">
        <v>37330</v>
      </c>
      <c r="D18" s="69">
        <f t="shared" si="1"/>
        <v>221.39038384994714</v>
      </c>
      <c r="E18" s="95">
        <f t="shared" si="0"/>
        <v>2.2139038384994713E-2</v>
      </c>
      <c r="F18" s="85"/>
      <c r="G18" s="83"/>
      <c r="H18" s="85"/>
      <c r="I18" s="68"/>
      <c r="J18" s="5"/>
      <c r="K18" s="5"/>
      <c r="L18" s="5"/>
    </row>
    <row r="19" spans="2:12" ht="19.5" customHeight="1" x14ac:dyDescent="0.25">
      <c r="B19" s="70" t="s">
        <v>77</v>
      </c>
      <c r="C19" s="69">
        <v>52686</v>
      </c>
      <c r="D19" s="69">
        <f t="shared" si="1"/>
        <v>313.49122569566742</v>
      </c>
      <c r="E19" s="95">
        <f t="shared" si="0"/>
        <v>3.1349122569566741E-2</v>
      </c>
      <c r="F19" s="85"/>
      <c r="G19" s="83"/>
      <c r="H19" s="85"/>
      <c r="I19" s="68"/>
      <c r="J19" s="5"/>
      <c r="K19" s="5"/>
      <c r="L19" s="5"/>
    </row>
    <row r="20" spans="2:12" ht="19.5" customHeight="1" x14ac:dyDescent="0.25">
      <c r="B20" s="70" t="s">
        <v>78</v>
      </c>
      <c r="C20" s="69">
        <v>48842</v>
      </c>
      <c r="D20" s="69">
        <f t="shared" si="1"/>
        <v>290.43602668193023</v>
      </c>
      <c r="E20" s="95">
        <f t="shared" si="0"/>
        <v>2.9043602668193023E-2</v>
      </c>
      <c r="F20" s="85"/>
      <c r="G20" s="83"/>
      <c r="H20" s="85"/>
      <c r="I20" s="68"/>
      <c r="J20" s="5"/>
      <c r="K20" s="5"/>
      <c r="L20" s="5"/>
    </row>
    <row r="21" spans="2:12" ht="19.5" customHeight="1" x14ac:dyDescent="0.25">
      <c r="B21" s="70" t="s">
        <v>79</v>
      </c>
      <c r="C21" s="69">
        <v>21751</v>
      </c>
      <c r="D21" s="69">
        <f t="shared" si="1"/>
        <v>127.95205257132791</v>
      </c>
      <c r="E21" s="95">
        <f t="shared" si="0"/>
        <v>1.2795205257132791E-2</v>
      </c>
      <c r="F21" s="85"/>
      <c r="G21" s="83"/>
      <c r="H21" s="85"/>
      <c r="I21" s="68"/>
      <c r="J21" s="5"/>
      <c r="K21" s="5"/>
      <c r="L21" s="5"/>
    </row>
    <row r="22" spans="2:12" ht="15.75" customHeight="1" x14ac:dyDescent="0.25">
      <c r="B22" s="94"/>
      <c r="C22" s="89"/>
      <c r="D22" s="90"/>
      <c r="E22" s="91"/>
      <c r="F22" s="85"/>
      <c r="G22" s="83"/>
      <c r="H22" s="85"/>
      <c r="I22" s="68"/>
      <c r="J22" s="5"/>
      <c r="K22" s="5"/>
      <c r="L22" s="5"/>
    </row>
    <row r="23" spans="2:12" s="60" customFormat="1" ht="15.75" x14ac:dyDescent="0.25">
      <c r="B23" s="67" t="s">
        <v>48</v>
      </c>
      <c r="C23" s="66"/>
      <c r="D23" s="65">
        <f>SUM(D12:D21)</f>
        <v>1878.1640022895381</v>
      </c>
      <c r="E23" s="64">
        <f>D23/10000</f>
        <v>0.18781640022895379</v>
      </c>
      <c r="F23" s="86"/>
      <c r="G23" s="87"/>
      <c r="H23" s="88"/>
      <c r="I23" s="63"/>
      <c r="J23" s="62"/>
      <c r="K23" s="62"/>
      <c r="L23" s="61"/>
    </row>
    <row r="24" spans="2:12" s="60" customFormat="1" ht="15.75" x14ac:dyDescent="0.25">
      <c r="B24" s="67" t="s">
        <v>47</v>
      </c>
      <c r="C24" s="66"/>
      <c r="D24" s="65">
        <f>D23+D10+D11</f>
        <v>2108.157448351199</v>
      </c>
      <c r="E24" s="64">
        <f>D24/10000</f>
        <v>0.21081574483511992</v>
      </c>
      <c r="F24" s="86"/>
      <c r="G24" s="87"/>
      <c r="H24" s="88"/>
      <c r="I24" s="63"/>
      <c r="J24" s="62"/>
      <c r="K24" s="62"/>
      <c r="L24" s="61"/>
    </row>
    <row r="25" spans="2:12" ht="16.5" thickBot="1" x14ac:dyDescent="0.3">
      <c r="B25" s="59" t="s">
        <v>46</v>
      </c>
      <c r="C25" s="122"/>
      <c r="D25" s="122"/>
      <c r="E25" s="58">
        <f>100-E24</f>
        <v>99.789184255164884</v>
      </c>
      <c r="F25" s="57"/>
      <c r="G25" s="56"/>
      <c r="H25" s="55"/>
      <c r="I25" s="54"/>
      <c r="J25" s="5"/>
      <c r="K25" s="5"/>
      <c r="L25" s="3"/>
    </row>
    <row r="32" spans="2:12" x14ac:dyDescent="0.25">
      <c r="D32" s="53"/>
    </row>
  </sheetData>
  <mergeCells count="2">
    <mergeCell ref="J7:L7"/>
    <mergeCell ref="C25:D2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F5980-3745-4AEE-ACD9-3CFD4150456C}">
  <sheetPr>
    <pageSetUpPr fitToPage="1"/>
  </sheetPr>
  <dimension ref="B2:L31"/>
  <sheetViews>
    <sheetView zoomScaleNormal="100" zoomScaleSheetLayoutView="100" workbookViewId="0">
      <pane xSplit="2" topLeftCell="C1" activePane="topRight" state="frozen"/>
      <selection pane="topRight" activeCell="D10" sqref="D10"/>
    </sheetView>
  </sheetViews>
  <sheetFormatPr defaultRowHeight="15" x14ac:dyDescent="0.25"/>
  <cols>
    <col min="2" max="2" width="27" bestFit="1" customWidth="1"/>
    <col min="3" max="3" width="37.7109375" customWidth="1"/>
    <col min="4" max="7" width="26.140625" bestFit="1" customWidth="1"/>
    <col min="8" max="8" width="26.140625" customWidth="1"/>
    <col min="9" max="9" width="9.85546875" customWidth="1"/>
    <col min="10" max="10" width="16.140625" bestFit="1" customWidth="1"/>
    <col min="12" max="12" width="14.140625" bestFit="1" customWidth="1"/>
    <col min="13" max="13" width="16.140625" bestFit="1" customWidth="1"/>
  </cols>
  <sheetData>
    <row r="2" spans="2:12" ht="15.75" thickBot="1" x14ac:dyDescent="0.3"/>
    <row r="3" spans="2:12" ht="15.75" x14ac:dyDescent="0.25">
      <c r="B3" s="82" t="s">
        <v>54</v>
      </c>
      <c r="C3" s="81" t="str">
        <f>'[1]26-12-2025'!F115</f>
        <v>TABA</v>
      </c>
      <c r="D3" s="81" t="str">
        <f>'[1]26-12-2025'!G115</f>
        <v>4,4-DABA</v>
      </c>
      <c r="E3" s="81" t="str">
        <f>'[1]26-12-2025'!H115</f>
        <v>DAPBI</v>
      </c>
      <c r="F3" s="81" t="str">
        <f>'[1]26-12-2025'!I115</f>
        <v>2-AP 4-AB</v>
      </c>
      <c r="G3" s="81" t="str">
        <f>'[1]26-12-2025'!J115</f>
        <v>2, 4-DAPBA</v>
      </c>
      <c r="H3" s="81" t="str">
        <f>'[1]26-12-2025'!K115</f>
        <v>PABI</v>
      </c>
      <c r="I3" s="80" t="str">
        <f>'[1]26-12-2025'!L115</f>
        <v>4-BIA</v>
      </c>
    </row>
    <row r="4" spans="2:12" ht="15.75" x14ac:dyDescent="0.25">
      <c r="B4" s="79" t="s">
        <v>36</v>
      </c>
      <c r="C4" s="78">
        <f>'08-01-2026'!F116</f>
        <v>101.83191313146074</v>
      </c>
      <c r="D4" s="78">
        <f>'08-01-2026'!G116</f>
        <v>180.94809179026876</v>
      </c>
      <c r="E4" s="78">
        <f>'08-01-2026'!H116</f>
        <v>166.73028923799737</v>
      </c>
      <c r="F4" s="78">
        <f>'08-01-2026'!I116</f>
        <v>106.26772746955949</v>
      </c>
      <c r="G4" s="78">
        <f>'08-01-2026'!J116</f>
        <v>7.5380009594272073</v>
      </c>
      <c r="H4" s="78">
        <f>'08-01-2026'!K116</f>
        <v>150.95532630213046</v>
      </c>
      <c r="I4" s="78">
        <f>'08-01-2026'!L116</f>
        <v>358.16405766684193</v>
      </c>
    </row>
    <row r="5" spans="2:12" ht="16.5" customHeight="1" x14ac:dyDescent="0.25">
      <c r="B5" s="79" t="s">
        <v>45</v>
      </c>
      <c r="C5" s="78">
        <f>'08-01-2026'!F117</f>
        <v>68.878417266190809</v>
      </c>
      <c r="D5" s="78">
        <f>'08-01-2026'!G117</f>
        <v>135.68633093525204</v>
      </c>
      <c r="E5" s="78">
        <f>'08-01-2026'!H117</f>
        <v>417.51726618705288</v>
      </c>
      <c r="F5" s="78">
        <f>'08-01-2026'!I117</f>
        <v>-133.31007194244739</v>
      </c>
      <c r="G5" s="78">
        <f>'08-01-2026'!J117</f>
        <v>-77.056115107913911</v>
      </c>
      <c r="H5" s="78">
        <f>'08-01-2026'!K117</f>
        <v>-4.5992805755395239</v>
      </c>
      <c r="I5" s="78">
        <f>'08-01-2026'!L117</f>
        <v>-196.32086330935272</v>
      </c>
    </row>
    <row r="6" spans="2:12" ht="15.75" x14ac:dyDescent="0.25">
      <c r="B6" s="77"/>
      <c r="C6" s="83"/>
      <c r="D6" s="83"/>
      <c r="E6" s="83"/>
      <c r="F6" s="83"/>
      <c r="G6" s="83"/>
      <c r="H6" s="83"/>
      <c r="I6" s="68"/>
    </row>
    <row r="7" spans="2:12" ht="15.75" x14ac:dyDescent="0.25">
      <c r="B7" s="76">
        <v>46027</v>
      </c>
      <c r="C7" s="75"/>
      <c r="D7" s="75"/>
      <c r="E7" s="75"/>
      <c r="F7" s="83"/>
      <c r="G7" s="83"/>
      <c r="H7" s="83"/>
      <c r="I7" s="68"/>
      <c r="J7" s="121"/>
      <c r="K7" s="121"/>
      <c r="L7" s="121"/>
    </row>
    <row r="8" spans="2:12" ht="15.75" x14ac:dyDescent="0.25">
      <c r="B8" s="74" t="s">
        <v>53</v>
      </c>
      <c r="C8" s="73" t="s">
        <v>80</v>
      </c>
      <c r="D8" s="72" t="s">
        <v>52</v>
      </c>
      <c r="E8" s="72" t="s">
        <v>81</v>
      </c>
      <c r="F8" s="84"/>
      <c r="G8" s="83"/>
      <c r="H8" s="84"/>
      <c r="I8" s="68"/>
      <c r="J8" s="5"/>
      <c r="K8" s="5"/>
      <c r="L8" s="5"/>
    </row>
    <row r="9" spans="2:12" ht="15.75" x14ac:dyDescent="0.25">
      <c r="B9" s="92"/>
      <c r="C9" s="93" t="s">
        <v>51</v>
      </c>
      <c r="D9" s="93" t="s">
        <v>50</v>
      </c>
      <c r="E9" s="93" t="s">
        <v>49</v>
      </c>
      <c r="F9" s="83"/>
      <c r="G9" s="83"/>
      <c r="H9" s="83"/>
      <c r="I9" s="71"/>
      <c r="J9" s="5"/>
      <c r="K9" s="5"/>
      <c r="L9" s="5"/>
    </row>
    <row r="10" spans="2:12" ht="15.75" customHeight="1" x14ac:dyDescent="0.25">
      <c r="B10" s="70" t="s">
        <v>33</v>
      </c>
      <c r="C10" s="69">
        <v>22612</v>
      </c>
      <c r="D10" s="69">
        <f>(C10-$H$5)/$H$4</f>
        <v>149.82312870040377</v>
      </c>
      <c r="E10" s="95">
        <f>D10/10000</f>
        <v>1.4982312870040378E-2</v>
      </c>
      <c r="F10" s="85"/>
      <c r="G10" s="83"/>
      <c r="H10" s="85"/>
      <c r="I10" s="68"/>
      <c r="J10" s="5"/>
      <c r="K10" s="5"/>
      <c r="L10" s="5"/>
    </row>
    <row r="11" spans="2:12" ht="15.75" customHeight="1" x14ac:dyDescent="0.25">
      <c r="B11" s="70" t="s">
        <v>34</v>
      </c>
      <c r="C11" s="69">
        <v>14117</v>
      </c>
      <c r="D11" s="69">
        <f>(C11-$I$5)/$I$4</f>
        <v>39.96302967011659</v>
      </c>
      <c r="E11" s="95">
        <f t="shared" ref="E11:E20" si="0">D11/10000</f>
        <v>3.9963029670116593E-3</v>
      </c>
      <c r="F11" s="85"/>
      <c r="G11" s="83"/>
      <c r="H11" s="85"/>
      <c r="I11" s="68"/>
      <c r="J11" s="5"/>
      <c r="K11" s="5"/>
      <c r="L11" s="5"/>
    </row>
    <row r="12" spans="2:12" ht="15.75" customHeight="1" x14ac:dyDescent="0.25">
      <c r="B12" s="70" t="s">
        <v>82</v>
      </c>
      <c r="C12" s="84">
        <v>15683</v>
      </c>
      <c r="D12" s="69">
        <f>(C12-$E$5)/$E$4</f>
        <v>91.557945491370177</v>
      </c>
      <c r="E12" s="95">
        <f t="shared" si="0"/>
        <v>9.1557945491370172E-3</v>
      </c>
      <c r="F12" s="85"/>
      <c r="G12" s="83"/>
      <c r="H12" s="85"/>
      <c r="I12" s="68"/>
      <c r="J12" s="5"/>
      <c r="K12" s="5"/>
      <c r="L12" s="5"/>
    </row>
    <row r="13" spans="2:12" ht="15.75" customHeight="1" x14ac:dyDescent="0.25">
      <c r="B13" s="70" t="s">
        <v>83</v>
      </c>
      <c r="C13" s="69">
        <v>42517</v>
      </c>
      <c r="D13" s="69">
        <f t="shared" ref="D13:D20" si="1">(C13-$E$5)/$E$4</f>
        <v>252.50050801338497</v>
      </c>
      <c r="E13" s="95">
        <f t="shared" si="0"/>
        <v>2.5250050801338499E-2</v>
      </c>
      <c r="F13" s="85"/>
      <c r="G13" s="83"/>
      <c r="H13" s="85"/>
      <c r="I13" s="68"/>
      <c r="J13" s="5"/>
      <c r="K13" s="5"/>
      <c r="L13" s="5"/>
    </row>
    <row r="14" spans="2:12" ht="15.75" customHeight="1" x14ac:dyDescent="0.25">
      <c r="B14" s="70" t="s">
        <v>84</v>
      </c>
      <c r="C14" s="69">
        <v>5692</v>
      </c>
      <c r="D14" s="69">
        <f t="shared" si="1"/>
        <v>31.634820271222242</v>
      </c>
      <c r="E14" s="95">
        <f t="shared" si="0"/>
        <v>3.1634820271222242E-3</v>
      </c>
      <c r="F14" s="85"/>
      <c r="G14" s="83"/>
      <c r="H14" s="85"/>
      <c r="I14" s="68"/>
      <c r="J14" s="5"/>
      <c r="K14" s="5"/>
      <c r="L14" s="5"/>
    </row>
    <row r="15" spans="2:12" ht="19.5" customHeight="1" x14ac:dyDescent="0.25">
      <c r="B15" s="70" t="s">
        <v>85</v>
      </c>
      <c r="C15" s="69">
        <v>25596</v>
      </c>
      <c r="D15" s="69">
        <f t="shared" si="1"/>
        <v>151.01324929552658</v>
      </c>
      <c r="E15" s="95">
        <f t="shared" si="0"/>
        <v>1.5101324929552658E-2</v>
      </c>
      <c r="F15" s="85"/>
      <c r="G15" s="83"/>
      <c r="H15" s="85"/>
      <c r="I15" s="68"/>
      <c r="J15" s="5"/>
      <c r="K15" s="5"/>
      <c r="L15" s="5"/>
    </row>
    <row r="16" spans="2:12" ht="19.5" customHeight="1" x14ac:dyDescent="0.25">
      <c r="B16" s="70" t="s">
        <v>86</v>
      </c>
      <c r="C16" s="69">
        <v>30746</v>
      </c>
      <c r="D16" s="69">
        <f t="shared" si="1"/>
        <v>181.90145817189148</v>
      </c>
      <c r="E16" s="95">
        <f t="shared" si="0"/>
        <v>1.8190145817189148E-2</v>
      </c>
      <c r="F16" s="85"/>
      <c r="G16" s="83"/>
      <c r="H16" s="85"/>
      <c r="I16" s="68"/>
      <c r="J16" s="5"/>
      <c r="K16" s="5"/>
      <c r="L16" s="5"/>
    </row>
    <row r="17" spans="2:12" ht="19.5" customHeight="1" x14ac:dyDescent="0.25">
      <c r="B17" s="70" t="s">
        <v>87</v>
      </c>
      <c r="C17" s="69">
        <v>17342</v>
      </c>
      <c r="D17" s="69">
        <f t="shared" si="1"/>
        <v>101.50814714688268</v>
      </c>
      <c r="E17" s="95">
        <f t="shared" si="0"/>
        <v>1.0150814714688268E-2</v>
      </c>
      <c r="F17" s="85"/>
      <c r="G17" s="83"/>
      <c r="H17" s="85"/>
      <c r="I17" s="68"/>
      <c r="J17" s="5"/>
      <c r="K17" s="5"/>
      <c r="L17" s="5"/>
    </row>
    <row r="18" spans="2:12" ht="19.5" customHeight="1" x14ac:dyDescent="0.25">
      <c r="B18" s="70" t="s">
        <v>88</v>
      </c>
      <c r="C18" s="69">
        <v>48414</v>
      </c>
      <c r="D18" s="69">
        <f t="shared" si="1"/>
        <v>287.86900660443814</v>
      </c>
      <c r="E18" s="95">
        <f t="shared" si="0"/>
        <v>2.8786900660443815E-2</v>
      </c>
      <c r="F18" s="85"/>
      <c r="G18" s="83"/>
      <c r="H18" s="85"/>
      <c r="I18" s="68"/>
      <c r="J18" s="5"/>
      <c r="K18" s="5"/>
      <c r="L18" s="5"/>
    </row>
    <row r="19" spans="2:12" ht="19.5" customHeight="1" x14ac:dyDescent="0.25">
      <c r="B19" s="70" t="s">
        <v>89</v>
      </c>
      <c r="C19" s="69">
        <v>11087</v>
      </c>
      <c r="D19" s="69">
        <f t="shared" si="1"/>
        <v>63.992468210637526</v>
      </c>
      <c r="E19" s="95">
        <f t="shared" si="0"/>
        <v>6.3992468210637525E-3</v>
      </c>
      <c r="F19" s="85"/>
      <c r="G19" s="83"/>
      <c r="H19" s="85"/>
      <c r="I19" s="68"/>
      <c r="J19" s="5"/>
      <c r="K19" s="5"/>
      <c r="L19" s="5"/>
    </row>
    <row r="20" spans="2:12" ht="19.5" customHeight="1" x14ac:dyDescent="0.25">
      <c r="B20" s="70" t="s">
        <v>90</v>
      </c>
      <c r="C20" s="69">
        <v>12759</v>
      </c>
      <c r="D20" s="69">
        <f t="shared" si="1"/>
        <v>74.020640102148619</v>
      </c>
      <c r="E20" s="95">
        <f t="shared" si="0"/>
        <v>7.4020640102148618E-3</v>
      </c>
      <c r="F20" s="85"/>
      <c r="G20" s="83"/>
      <c r="H20" s="85"/>
      <c r="I20" s="68"/>
      <c r="J20" s="5"/>
      <c r="K20" s="5"/>
      <c r="L20" s="5"/>
    </row>
    <row r="21" spans="2:12" ht="15.75" customHeight="1" x14ac:dyDescent="0.25">
      <c r="B21" s="94"/>
      <c r="C21" s="89"/>
      <c r="D21" s="90"/>
      <c r="E21" s="91"/>
      <c r="F21" s="85"/>
      <c r="G21" s="83"/>
      <c r="H21" s="85"/>
      <c r="I21" s="68"/>
      <c r="J21" s="5"/>
      <c r="K21" s="5"/>
      <c r="L21" s="5"/>
    </row>
    <row r="22" spans="2:12" s="60" customFormat="1" ht="15.75" x14ac:dyDescent="0.25">
      <c r="B22" s="67" t="s">
        <v>48</v>
      </c>
      <c r="C22" s="66"/>
      <c r="D22" s="65">
        <f>SUM(D12:D20)</f>
        <v>1235.9982433075024</v>
      </c>
      <c r="E22" s="64">
        <f>D22/10000</f>
        <v>0.12359982433075024</v>
      </c>
      <c r="F22" s="86"/>
      <c r="G22" s="87"/>
      <c r="H22" s="88"/>
      <c r="I22" s="63"/>
      <c r="J22" s="62"/>
      <c r="K22" s="62"/>
      <c r="L22" s="61"/>
    </row>
    <row r="23" spans="2:12" s="60" customFormat="1" ht="15.75" x14ac:dyDescent="0.25">
      <c r="B23" s="67" t="s">
        <v>47</v>
      </c>
      <c r="C23" s="66"/>
      <c r="D23" s="65">
        <f>D22+D10+D11</f>
        <v>1425.7844016780227</v>
      </c>
      <c r="E23" s="64">
        <f>D23/10000</f>
        <v>0.14257844016780227</v>
      </c>
      <c r="F23" s="86"/>
      <c r="G23" s="87"/>
      <c r="H23" s="88"/>
      <c r="I23" s="63"/>
      <c r="J23" s="62"/>
      <c r="K23" s="62"/>
      <c r="L23" s="61"/>
    </row>
    <row r="24" spans="2:12" ht="16.5" thickBot="1" x14ac:dyDescent="0.3">
      <c r="B24" s="59" t="s">
        <v>46</v>
      </c>
      <c r="C24" s="122"/>
      <c r="D24" s="122"/>
      <c r="E24" s="58">
        <f>100-E23</f>
        <v>99.857421559832204</v>
      </c>
      <c r="F24" s="57"/>
      <c r="G24" s="56"/>
      <c r="H24" s="55"/>
      <c r="I24" s="54"/>
      <c r="J24" s="5"/>
      <c r="K24" s="5"/>
      <c r="L24" s="3"/>
    </row>
    <row r="31" spans="2:12" x14ac:dyDescent="0.25">
      <c r="D31" s="53"/>
    </row>
  </sheetData>
  <mergeCells count="2">
    <mergeCell ref="J7:L7"/>
    <mergeCell ref="C24:D24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71B62-1904-4888-9770-5D238ACDC9E6}">
  <sheetPr>
    <pageSetUpPr fitToPage="1"/>
  </sheetPr>
  <dimension ref="B2:L40"/>
  <sheetViews>
    <sheetView topLeftCell="A3" zoomScaleNormal="100" zoomScaleSheetLayoutView="100" workbookViewId="0">
      <pane xSplit="2" topLeftCell="C1" activePane="topRight" state="frozen"/>
      <selection pane="topRight" activeCell="D10" sqref="D10"/>
    </sheetView>
  </sheetViews>
  <sheetFormatPr defaultRowHeight="15" x14ac:dyDescent="0.25"/>
  <cols>
    <col min="2" max="2" width="27" bestFit="1" customWidth="1"/>
    <col min="3" max="3" width="37.7109375" customWidth="1"/>
    <col min="4" max="7" width="26.140625" bestFit="1" customWidth="1"/>
    <col min="8" max="8" width="26.140625" customWidth="1"/>
    <col min="9" max="9" width="9.85546875" customWidth="1"/>
    <col min="10" max="10" width="16.140625" bestFit="1" customWidth="1"/>
    <col min="12" max="12" width="14.140625" bestFit="1" customWidth="1"/>
    <col min="13" max="13" width="16.140625" bestFit="1" customWidth="1"/>
  </cols>
  <sheetData>
    <row r="2" spans="2:12" ht="15.75" thickBot="1" x14ac:dyDescent="0.3"/>
    <row r="3" spans="2:12" ht="15.75" x14ac:dyDescent="0.25">
      <c r="B3" s="82" t="s">
        <v>54</v>
      </c>
      <c r="C3" s="81" t="str">
        <f>'[1]26-12-2025'!F115</f>
        <v>TABA</v>
      </c>
      <c r="D3" s="81" t="str">
        <f>'[1]26-12-2025'!G115</f>
        <v>4,4-DABA</v>
      </c>
      <c r="E3" s="81" t="str">
        <f>'[1]26-12-2025'!H115</f>
        <v>DAPBI</v>
      </c>
      <c r="F3" s="81" t="str">
        <f>'[1]26-12-2025'!I115</f>
        <v>2-AP 4-AB</v>
      </c>
      <c r="G3" s="81" t="str">
        <f>'[1]26-12-2025'!J115</f>
        <v>2, 4-DAPBA</v>
      </c>
      <c r="H3" s="81" t="str">
        <f>'[1]26-12-2025'!K115</f>
        <v>PABI</v>
      </c>
      <c r="I3" s="80" t="str">
        <f>'[1]26-12-2025'!L115</f>
        <v>4-BIA</v>
      </c>
    </row>
    <row r="4" spans="2:12" ht="15.75" x14ac:dyDescent="0.25">
      <c r="B4" s="79" t="s">
        <v>36</v>
      </c>
      <c r="C4" s="78">
        <f>'08-01-2026'!F116</f>
        <v>101.83191313146074</v>
      </c>
      <c r="D4" s="78">
        <f>'08-01-2026'!G116</f>
        <v>180.94809179026876</v>
      </c>
      <c r="E4" s="78">
        <f>'08-01-2026'!H116</f>
        <v>166.73028923799737</v>
      </c>
      <c r="F4" s="78">
        <f>'08-01-2026'!I116</f>
        <v>106.26772746955949</v>
      </c>
      <c r="G4" s="78">
        <f>'08-01-2026'!J116</f>
        <v>7.5380009594272073</v>
      </c>
      <c r="H4" s="78">
        <f>'08-01-2026'!K116</f>
        <v>150.95532630213046</v>
      </c>
      <c r="I4" s="78">
        <f>'08-01-2026'!L116</f>
        <v>358.16405766684193</v>
      </c>
    </row>
    <row r="5" spans="2:12" ht="16.5" customHeight="1" x14ac:dyDescent="0.25">
      <c r="B5" s="79" t="s">
        <v>45</v>
      </c>
      <c r="C5" s="78">
        <f>'08-01-2026'!F117</f>
        <v>68.878417266190809</v>
      </c>
      <c r="D5" s="78">
        <f>'08-01-2026'!G117</f>
        <v>135.68633093525204</v>
      </c>
      <c r="E5" s="78">
        <f>'08-01-2026'!H117</f>
        <v>417.51726618705288</v>
      </c>
      <c r="F5" s="78">
        <f>'08-01-2026'!I117</f>
        <v>-133.31007194244739</v>
      </c>
      <c r="G5" s="78">
        <f>'08-01-2026'!J117</f>
        <v>-77.056115107913911</v>
      </c>
      <c r="H5" s="78">
        <f>'08-01-2026'!K117</f>
        <v>-4.5992805755395239</v>
      </c>
      <c r="I5" s="78">
        <f>'08-01-2026'!L117</f>
        <v>-196.32086330935272</v>
      </c>
    </row>
    <row r="6" spans="2:12" ht="15.75" x14ac:dyDescent="0.25">
      <c r="B6" s="77"/>
      <c r="C6" s="83"/>
      <c r="D6" s="83"/>
      <c r="E6" s="83"/>
      <c r="F6" s="83"/>
      <c r="G6" s="83"/>
      <c r="H6" s="83"/>
      <c r="I6" s="68"/>
    </row>
    <row r="7" spans="2:12" ht="15.75" x14ac:dyDescent="0.25">
      <c r="B7" s="76">
        <v>46027</v>
      </c>
      <c r="C7" s="75"/>
      <c r="D7" s="75"/>
      <c r="E7" s="75"/>
      <c r="F7" s="83"/>
      <c r="G7" s="83"/>
      <c r="H7" s="83"/>
      <c r="I7" s="68"/>
      <c r="J7" s="121"/>
      <c r="K7" s="121"/>
      <c r="L7" s="121"/>
    </row>
    <row r="8" spans="2:12" ht="15.75" x14ac:dyDescent="0.25">
      <c r="B8" s="74" t="s">
        <v>53</v>
      </c>
      <c r="C8" s="73" t="s">
        <v>91</v>
      </c>
      <c r="D8" s="72" t="s">
        <v>52</v>
      </c>
      <c r="E8" s="72" t="s">
        <v>92</v>
      </c>
      <c r="F8" s="84"/>
      <c r="G8" s="83"/>
      <c r="H8" s="84"/>
      <c r="I8" s="68"/>
      <c r="J8" s="5"/>
      <c r="K8" s="5"/>
      <c r="L8" s="5"/>
    </row>
    <row r="9" spans="2:12" ht="15.75" x14ac:dyDescent="0.25">
      <c r="B9" s="92"/>
      <c r="C9" s="93" t="s">
        <v>51</v>
      </c>
      <c r="D9" s="93" t="s">
        <v>50</v>
      </c>
      <c r="E9" s="93" t="s">
        <v>49</v>
      </c>
      <c r="F9" s="83"/>
      <c r="G9" s="83"/>
      <c r="H9" s="83"/>
      <c r="I9" s="71"/>
      <c r="J9" s="5"/>
      <c r="K9" s="5"/>
      <c r="L9" s="5"/>
    </row>
    <row r="10" spans="2:12" ht="15.75" customHeight="1" x14ac:dyDescent="0.25">
      <c r="B10" s="70" t="s">
        <v>33</v>
      </c>
      <c r="C10" s="69">
        <v>8069</v>
      </c>
      <c r="D10" s="69">
        <f>(C10-$H$5)/$H$4</f>
        <v>53.483368082134348</v>
      </c>
      <c r="E10" s="95">
        <f>D10/10000</f>
        <v>5.348336808213435E-3</v>
      </c>
      <c r="F10" s="85"/>
      <c r="G10" s="83"/>
      <c r="H10" s="85"/>
      <c r="I10" s="68"/>
      <c r="J10" s="5"/>
      <c r="K10" s="5"/>
      <c r="L10" s="5"/>
    </row>
    <row r="11" spans="2:12" ht="15.75" customHeight="1" x14ac:dyDescent="0.25">
      <c r="B11" s="70" t="s">
        <v>34</v>
      </c>
      <c r="C11" s="69">
        <v>70547</v>
      </c>
      <c r="D11" s="69">
        <f>(C11-$I$5)/$I$4</f>
        <v>197.51652727006339</v>
      </c>
      <c r="E11" s="95">
        <f t="shared" ref="E11:E29" si="0">D11/10000</f>
        <v>1.9751652727006339E-2</v>
      </c>
      <c r="F11" s="85"/>
      <c r="G11" s="83"/>
      <c r="H11" s="85"/>
      <c r="I11" s="68"/>
      <c r="J11" s="5"/>
      <c r="K11" s="5"/>
      <c r="L11" s="5"/>
    </row>
    <row r="12" spans="2:12" ht="15.75" customHeight="1" x14ac:dyDescent="0.25">
      <c r="B12" s="70" t="s">
        <v>93</v>
      </c>
      <c r="C12" s="84">
        <v>182755</v>
      </c>
      <c r="D12" s="69">
        <f>(C12-$E$5)/$E$4</f>
        <v>1093.6074277034165</v>
      </c>
      <c r="E12" s="95">
        <f t="shared" si="0"/>
        <v>0.10936074277034165</v>
      </c>
      <c r="F12" s="85"/>
      <c r="G12" s="83"/>
      <c r="H12" s="85"/>
      <c r="I12" s="68"/>
      <c r="J12" s="5"/>
      <c r="K12" s="5"/>
      <c r="L12" s="5"/>
    </row>
    <row r="13" spans="2:12" ht="15.75" customHeight="1" x14ac:dyDescent="0.25">
      <c r="B13" s="70" t="s">
        <v>94</v>
      </c>
      <c r="C13" s="69">
        <v>172603</v>
      </c>
      <c r="D13" s="69">
        <f t="shared" ref="D13:D29" si="1">(C13-$E$5)/$E$4</f>
        <v>1032.7186710989783</v>
      </c>
      <c r="E13" s="95">
        <f t="shared" si="0"/>
        <v>0.10327186710989783</v>
      </c>
      <c r="F13" s="85"/>
      <c r="G13" s="83"/>
      <c r="H13" s="85"/>
      <c r="I13" s="68"/>
      <c r="J13" s="5"/>
      <c r="K13" s="5"/>
      <c r="L13" s="5"/>
    </row>
    <row r="14" spans="2:12" ht="15.75" customHeight="1" x14ac:dyDescent="0.25">
      <c r="B14" s="70" t="s">
        <v>95</v>
      </c>
      <c r="C14" s="69">
        <v>39428</v>
      </c>
      <c r="D14" s="69">
        <f t="shared" si="1"/>
        <v>233.97358039802745</v>
      </c>
      <c r="E14" s="95">
        <f t="shared" si="0"/>
        <v>2.3397358039802744E-2</v>
      </c>
      <c r="F14" s="85"/>
      <c r="G14" s="83"/>
      <c r="H14" s="85"/>
      <c r="I14" s="68"/>
      <c r="J14" s="5"/>
      <c r="K14" s="5"/>
      <c r="L14" s="5"/>
    </row>
    <row r="15" spans="2:12" ht="19.5" customHeight="1" x14ac:dyDescent="0.25">
      <c r="B15" s="70" t="s">
        <v>96</v>
      </c>
      <c r="C15" s="69">
        <v>35461</v>
      </c>
      <c r="D15" s="69">
        <f t="shared" si="1"/>
        <v>210.18066299753431</v>
      </c>
      <c r="E15" s="95">
        <f t="shared" si="0"/>
        <v>2.1018066299753432E-2</v>
      </c>
      <c r="F15" s="85"/>
      <c r="G15" s="83"/>
      <c r="H15" s="85"/>
      <c r="I15" s="68"/>
      <c r="J15" s="5"/>
      <c r="K15" s="5"/>
      <c r="L15" s="5"/>
    </row>
    <row r="16" spans="2:12" ht="19.5" customHeight="1" x14ac:dyDescent="0.25">
      <c r="B16" s="70" t="s">
        <v>97</v>
      </c>
      <c r="C16" s="69">
        <v>32583</v>
      </c>
      <c r="D16" s="69">
        <f t="shared" si="1"/>
        <v>192.91925228953855</v>
      </c>
      <c r="E16" s="95">
        <f t="shared" si="0"/>
        <v>1.9291925228953854E-2</v>
      </c>
      <c r="F16" s="85"/>
      <c r="G16" s="83"/>
      <c r="H16" s="85"/>
      <c r="I16" s="68"/>
      <c r="J16" s="5"/>
      <c r="K16" s="5"/>
      <c r="L16" s="5"/>
    </row>
    <row r="17" spans="2:12" ht="19.5" customHeight="1" x14ac:dyDescent="0.25">
      <c r="B17" s="70" t="s">
        <v>98</v>
      </c>
      <c r="C17" s="69">
        <v>70925</v>
      </c>
      <c r="D17" s="69">
        <f t="shared" si="1"/>
        <v>422.88346680169064</v>
      </c>
      <c r="E17" s="95">
        <f t="shared" si="0"/>
        <v>4.2288346680169064E-2</v>
      </c>
      <c r="F17" s="85"/>
      <c r="G17" s="83"/>
      <c r="H17" s="85"/>
      <c r="I17" s="68"/>
      <c r="J17" s="5"/>
      <c r="K17" s="5"/>
      <c r="L17" s="5"/>
    </row>
    <row r="18" spans="2:12" ht="19.5" customHeight="1" x14ac:dyDescent="0.25">
      <c r="B18" s="70" t="s">
        <v>99</v>
      </c>
      <c r="C18" s="69">
        <v>82412</v>
      </c>
      <c r="D18" s="69">
        <f t="shared" si="1"/>
        <v>491.77916687213798</v>
      </c>
      <c r="E18" s="95">
        <f t="shared" si="0"/>
        <v>4.9177916687213795E-2</v>
      </c>
      <c r="F18" s="85"/>
      <c r="G18" s="83"/>
      <c r="H18" s="85"/>
      <c r="I18" s="68"/>
      <c r="J18" s="5"/>
      <c r="K18" s="5"/>
      <c r="L18" s="5"/>
    </row>
    <row r="19" spans="2:12" ht="19.5" customHeight="1" x14ac:dyDescent="0.25">
      <c r="B19" s="70" t="s">
        <v>100</v>
      </c>
      <c r="C19" s="69">
        <v>47832</v>
      </c>
      <c r="D19" s="69">
        <f t="shared" si="1"/>
        <v>284.37833911588586</v>
      </c>
      <c r="E19" s="95">
        <f t="shared" si="0"/>
        <v>2.8437833911588585E-2</v>
      </c>
      <c r="F19" s="85"/>
      <c r="G19" s="83"/>
      <c r="H19" s="85"/>
      <c r="I19" s="68"/>
      <c r="J19" s="5"/>
      <c r="K19" s="5"/>
      <c r="L19" s="5"/>
    </row>
    <row r="20" spans="2:12" ht="19.5" customHeight="1" x14ac:dyDescent="0.25">
      <c r="B20" s="70" t="s">
        <v>101</v>
      </c>
      <c r="C20" s="69">
        <v>24193</v>
      </c>
      <c r="D20" s="69">
        <f t="shared" si="1"/>
        <v>142.59846151814017</v>
      </c>
      <c r="E20" s="95">
        <f t="shared" si="0"/>
        <v>1.4259846151814018E-2</v>
      </c>
      <c r="F20" s="85"/>
      <c r="G20" s="83"/>
      <c r="H20" s="85"/>
      <c r="I20" s="68"/>
      <c r="J20" s="5"/>
      <c r="K20" s="5"/>
      <c r="L20" s="5"/>
    </row>
    <row r="21" spans="2:12" ht="19.5" customHeight="1" x14ac:dyDescent="0.25">
      <c r="B21" s="70" t="s">
        <v>102</v>
      </c>
      <c r="C21" s="69">
        <v>11593</v>
      </c>
      <c r="D21" s="69">
        <f t="shared" ref="D21:D28" si="2">(C21-$E$5)/$E$4</f>
        <v>67.027309704121151</v>
      </c>
      <c r="E21" s="95">
        <f t="shared" ref="E21:E28" si="3">D21/10000</f>
        <v>6.7027309704121149E-3</v>
      </c>
      <c r="F21" s="85"/>
      <c r="G21" s="83"/>
      <c r="H21" s="85"/>
      <c r="I21" s="68"/>
      <c r="J21" s="5"/>
      <c r="K21" s="5"/>
      <c r="L21" s="5"/>
    </row>
    <row r="22" spans="2:12" ht="19.5" customHeight="1" x14ac:dyDescent="0.25">
      <c r="B22" s="70" t="s">
        <v>103</v>
      </c>
      <c r="C22" s="69">
        <v>4594</v>
      </c>
      <c r="D22" s="69">
        <f t="shared" si="2"/>
        <v>25.049334184572015</v>
      </c>
      <c r="E22" s="95">
        <f t="shared" si="3"/>
        <v>2.5049334184572016E-3</v>
      </c>
      <c r="F22" s="85"/>
      <c r="G22" s="83"/>
      <c r="H22" s="85"/>
      <c r="I22" s="68"/>
      <c r="J22" s="5"/>
      <c r="K22" s="5"/>
      <c r="L22" s="5"/>
    </row>
    <row r="23" spans="2:12" ht="19.5" customHeight="1" x14ac:dyDescent="0.25">
      <c r="B23" s="70" t="s">
        <v>104</v>
      </c>
      <c r="C23" s="69">
        <v>11704</v>
      </c>
      <c r="D23" s="69">
        <f t="shared" si="2"/>
        <v>67.69305556533989</v>
      </c>
      <c r="E23" s="95">
        <f t="shared" si="3"/>
        <v>6.7693055565339888E-3</v>
      </c>
      <c r="F23" s="85"/>
      <c r="G23" s="83"/>
      <c r="H23" s="85"/>
      <c r="I23" s="68"/>
      <c r="J23" s="5"/>
      <c r="K23" s="5"/>
      <c r="L23" s="5"/>
    </row>
    <row r="24" spans="2:12" ht="19.5" customHeight="1" x14ac:dyDescent="0.25">
      <c r="B24" s="70" t="s">
        <v>105</v>
      </c>
      <c r="C24" s="69">
        <v>20210</v>
      </c>
      <c r="D24" s="69">
        <f t="shared" si="2"/>
        <v>118.70958075026415</v>
      </c>
      <c r="E24" s="95">
        <f t="shared" si="3"/>
        <v>1.1870958075026415E-2</v>
      </c>
      <c r="F24" s="85"/>
      <c r="G24" s="83"/>
      <c r="H24" s="85"/>
      <c r="I24" s="68"/>
      <c r="J24" s="5"/>
      <c r="K24" s="5"/>
      <c r="L24" s="5"/>
    </row>
    <row r="25" spans="2:12" ht="19.5" customHeight="1" x14ac:dyDescent="0.25">
      <c r="B25" s="70" t="s">
        <v>106</v>
      </c>
      <c r="C25" s="69">
        <v>23104</v>
      </c>
      <c r="D25" s="69">
        <f t="shared" si="2"/>
        <v>136.0669548256428</v>
      </c>
      <c r="E25" s="95">
        <f t="shared" si="3"/>
        <v>1.360669548256428E-2</v>
      </c>
      <c r="F25" s="85"/>
      <c r="G25" s="83"/>
      <c r="H25" s="85"/>
      <c r="I25" s="68"/>
      <c r="J25" s="5"/>
      <c r="K25" s="5"/>
      <c r="L25" s="5"/>
    </row>
    <row r="26" spans="2:12" ht="19.5" customHeight="1" x14ac:dyDescent="0.25">
      <c r="B26" s="70" t="s">
        <v>107</v>
      </c>
      <c r="C26" s="69">
        <v>7113</v>
      </c>
      <c r="D26" s="69">
        <f t="shared" si="2"/>
        <v>40.157566836914391</v>
      </c>
      <c r="E26" s="95">
        <f t="shared" si="3"/>
        <v>4.0157566836914391E-3</v>
      </c>
      <c r="F26" s="85"/>
      <c r="G26" s="83"/>
      <c r="H26" s="85"/>
      <c r="I26" s="68"/>
      <c r="J26" s="5"/>
      <c r="K26" s="5"/>
      <c r="L26" s="5"/>
    </row>
    <row r="27" spans="2:12" ht="19.5" customHeight="1" x14ac:dyDescent="0.25">
      <c r="B27" s="70" t="s">
        <v>108</v>
      </c>
      <c r="C27" s="69">
        <v>8524</v>
      </c>
      <c r="D27" s="69">
        <f t="shared" si="2"/>
        <v>48.620336297992232</v>
      </c>
      <c r="E27" s="95">
        <f t="shared" si="3"/>
        <v>4.8620336297992232E-3</v>
      </c>
      <c r="F27" s="85"/>
      <c r="G27" s="83"/>
      <c r="H27" s="85"/>
      <c r="I27" s="68"/>
      <c r="J27" s="5"/>
      <c r="K27" s="5"/>
      <c r="L27" s="5"/>
    </row>
    <row r="28" spans="2:12" ht="19.5" customHeight="1" x14ac:dyDescent="0.25">
      <c r="B28" s="70" t="s">
        <v>109</v>
      </c>
      <c r="C28" s="69">
        <v>22792</v>
      </c>
      <c r="D28" s="69">
        <f t="shared" si="2"/>
        <v>134.19566916167662</v>
      </c>
      <c r="E28" s="95">
        <f t="shared" si="3"/>
        <v>1.3419566916167662E-2</v>
      </c>
      <c r="F28" s="85"/>
      <c r="G28" s="83"/>
      <c r="H28" s="85"/>
      <c r="I28" s="68"/>
      <c r="J28" s="5"/>
      <c r="K28" s="5"/>
      <c r="L28" s="5"/>
    </row>
    <row r="29" spans="2:12" ht="19.5" customHeight="1" x14ac:dyDescent="0.25">
      <c r="B29" s="70" t="s">
        <v>76</v>
      </c>
      <c r="C29" s="69">
        <v>3926</v>
      </c>
      <c r="D29" s="69">
        <f t="shared" si="1"/>
        <v>21.042863596336723</v>
      </c>
      <c r="E29" s="95">
        <f t="shared" si="0"/>
        <v>2.1042863596336722E-3</v>
      </c>
      <c r="F29" s="85"/>
      <c r="G29" s="83"/>
      <c r="H29" s="85"/>
      <c r="I29" s="68"/>
      <c r="J29" s="5"/>
      <c r="K29" s="5"/>
      <c r="L29" s="5"/>
    </row>
    <row r="30" spans="2:12" ht="15.75" customHeight="1" x14ac:dyDescent="0.25">
      <c r="B30" s="94"/>
      <c r="C30" s="89"/>
      <c r="D30" s="90"/>
      <c r="E30" s="91"/>
      <c r="F30" s="85"/>
      <c r="G30" s="83"/>
      <c r="H30" s="85"/>
      <c r="I30" s="68"/>
      <c r="J30" s="5"/>
      <c r="K30" s="5"/>
      <c r="L30" s="5"/>
    </row>
    <row r="31" spans="2:12" s="60" customFormat="1" ht="15.75" x14ac:dyDescent="0.25">
      <c r="B31" s="67" t="s">
        <v>48</v>
      </c>
      <c r="C31" s="66"/>
      <c r="D31" s="65">
        <f>SUM(D12:D29)</f>
        <v>4763.6016997182105</v>
      </c>
      <c r="E31" s="64">
        <f>D31/10000</f>
        <v>0.47636016997182107</v>
      </c>
      <c r="F31" s="86"/>
      <c r="G31" s="87"/>
      <c r="H31" s="88"/>
      <c r="I31" s="63"/>
      <c r="J31" s="62"/>
      <c r="K31" s="62"/>
      <c r="L31" s="61"/>
    </row>
    <row r="32" spans="2:12" s="60" customFormat="1" ht="15.75" x14ac:dyDescent="0.25">
      <c r="B32" s="67" t="s">
        <v>47</v>
      </c>
      <c r="C32" s="66"/>
      <c r="D32" s="65">
        <f>D31+D10+D11</f>
        <v>5014.6015950704077</v>
      </c>
      <c r="E32" s="64">
        <f>D32/10000</f>
        <v>0.50146015950704081</v>
      </c>
      <c r="F32" s="86"/>
      <c r="G32" s="87"/>
      <c r="H32" s="88"/>
      <c r="I32" s="63"/>
      <c r="J32" s="62"/>
      <c r="K32" s="62"/>
      <c r="L32" s="61"/>
    </row>
    <row r="33" spans="2:12" ht="16.5" thickBot="1" x14ac:dyDescent="0.3">
      <c r="B33" s="59" t="s">
        <v>46</v>
      </c>
      <c r="C33" s="122"/>
      <c r="D33" s="122"/>
      <c r="E33" s="58">
        <f>100-E32</f>
        <v>99.498539840492953</v>
      </c>
      <c r="F33" s="57"/>
      <c r="G33" s="56"/>
      <c r="H33" s="55"/>
      <c r="I33" s="54"/>
      <c r="J33" s="5"/>
      <c r="K33" s="5"/>
      <c r="L33" s="3"/>
    </row>
    <row r="40" spans="2:12" x14ac:dyDescent="0.25">
      <c r="D40" s="53"/>
    </row>
  </sheetData>
  <mergeCells count="2">
    <mergeCell ref="J7:L7"/>
    <mergeCell ref="C33:D3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08-01-2026</vt:lpstr>
      <vt:lpstr>SA-002 APB A03 33</vt:lpstr>
      <vt:lpstr>SA-002 APB A03 35</vt:lpstr>
      <vt:lpstr>SA002-APB-A03-43</vt:lpstr>
      <vt:lpstr>SA002-APB-A03-44</vt:lpstr>
      <vt:lpstr>SA002-APB-A03-45</vt:lpstr>
      <vt:lpstr>'08-01-2026'!Print_Area</vt:lpstr>
      <vt:lpstr>'SA-002 APB A03 33'!Print_Area</vt:lpstr>
      <vt:lpstr>'SA-002 APB A03 35'!Print_Area</vt:lpstr>
      <vt:lpstr>'SA002-APB-A03-43'!Print_Area</vt:lpstr>
      <vt:lpstr>'SA002-APB-A03-44'!Print_Area</vt:lpstr>
      <vt:lpstr>'SA002-APB-A03-45'!Print_Area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Annamaina Raju</cp:lastModifiedBy>
  <cp:lastPrinted>2025-09-19T10:57:42Z</cp:lastPrinted>
  <dcterms:created xsi:type="dcterms:W3CDTF">2025-05-20T04:50:55Z</dcterms:created>
  <dcterms:modified xsi:type="dcterms:W3CDTF">2026-01-12T11:33:40Z</dcterms:modified>
</cp:coreProperties>
</file>