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file-server\ARD\HPLC REPORTS\2025\Monomer(APB)\12.December\26-12-2025\"/>
    </mc:Choice>
  </mc:AlternateContent>
  <xr:revisionPtr revIDLastSave="0" documentId="13_ncr:1_{AA13FE34-5F64-4B1E-806F-951EC14AE0A9}" xr6:coauthVersionLast="47" xr6:coauthVersionMax="47" xr10:uidLastSave="{00000000-0000-0000-0000-000000000000}"/>
  <bookViews>
    <workbookView xWindow="-120" yWindow="-120" windowWidth="29040" windowHeight="15720" tabRatio="721" activeTab="1" xr2:uid="{00000000-000D-0000-FFFF-FFFF00000000}"/>
  </bookViews>
  <sheets>
    <sheet name="26-12-2025" sheetId="21" r:id="rId1"/>
    <sheet name="SA002 APB A02 54" sheetId="42" r:id="rId2"/>
    <sheet name="SA002-APB-A03-033 RC" sheetId="43" r:id="rId3"/>
    <sheet name="SA002-APB-A03-34 Carbon filter" sheetId="45" r:id="rId4"/>
    <sheet name="SA002-APB-A03-035 Sulphate salt" sheetId="46" r:id="rId5"/>
    <sheet name="SA002-APB-A03-033 Solid-1" sheetId="47" r:id="rId6"/>
  </sheets>
  <definedNames>
    <definedName name="_xlnm.Print_Area" localSheetId="0">'26-12-2025'!$E$6:$M$113</definedName>
    <definedName name="_xlnm.Print_Area" localSheetId="1">'SA002 APB A02 54'!$B$3:$I$39</definedName>
    <definedName name="_xlnm.Print_Area" localSheetId="2">'SA002-APB-A03-033 RC'!$B$3:$I$20</definedName>
    <definedName name="_xlnm.Print_Area" localSheetId="5">'SA002-APB-A03-033 Solid-1'!$B$3:$I$18</definedName>
    <definedName name="_xlnm.Print_Area" localSheetId="4">'SA002-APB-A03-035 Sulphate salt'!$B$3:$I$26</definedName>
    <definedName name="_xlnm.Print_Area" localSheetId="3">'SA002-APB-A03-34 Carbon filter'!$B$3:$I$26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47" l="1"/>
  <c r="H5" i="47"/>
  <c r="G5" i="47"/>
  <c r="F5" i="47"/>
  <c r="E5" i="47"/>
  <c r="D5" i="47"/>
  <c r="C5" i="47"/>
  <c r="I4" i="47"/>
  <c r="H4" i="47"/>
  <c r="G4" i="47"/>
  <c r="F4" i="47"/>
  <c r="E4" i="47"/>
  <c r="D13" i="47" s="1"/>
  <c r="E13" i="47" s="1"/>
  <c r="D4" i="47"/>
  <c r="C4" i="47"/>
  <c r="I3" i="47"/>
  <c r="H3" i="47"/>
  <c r="G3" i="47"/>
  <c r="F3" i="47"/>
  <c r="E3" i="47"/>
  <c r="D3" i="47"/>
  <c r="C3" i="47"/>
  <c r="I5" i="46"/>
  <c r="D11" i="46" s="1"/>
  <c r="E11" i="46" s="1"/>
  <c r="H5" i="46"/>
  <c r="D10" i="46" s="1"/>
  <c r="E10" i="46" s="1"/>
  <c r="G5" i="46"/>
  <c r="F5" i="46"/>
  <c r="E5" i="46"/>
  <c r="D19" i="46" s="1"/>
  <c r="E19" i="46" s="1"/>
  <c r="D5" i="46"/>
  <c r="C5" i="46"/>
  <c r="I4" i="46"/>
  <c r="H4" i="46"/>
  <c r="G4" i="46"/>
  <c r="F4" i="46"/>
  <c r="E4" i="46"/>
  <c r="D4" i="46"/>
  <c r="C4" i="46"/>
  <c r="I3" i="46"/>
  <c r="H3" i="46"/>
  <c r="G3" i="46"/>
  <c r="F3" i="46"/>
  <c r="E3" i="46"/>
  <c r="D3" i="46"/>
  <c r="C3" i="46"/>
  <c r="D21" i="45"/>
  <c r="E21" i="45"/>
  <c r="D20" i="45"/>
  <c r="E20" i="45" s="1"/>
  <c r="D19" i="45"/>
  <c r="E19" i="45" s="1"/>
  <c r="D18" i="45"/>
  <c r="E18" i="45" s="1"/>
  <c r="D17" i="45"/>
  <c r="E17" i="45" s="1"/>
  <c r="D16" i="45"/>
  <c r="E16" i="45"/>
  <c r="I5" i="45"/>
  <c r="H5" i="45"/>
  <c r="G5" i="45"/>
  <c r="F5" i="45"/>
  <c r="E5" i="45"/>
  <c r="D5" i="45"/>
  <c r="C5" i="45"/>
  <c r="I4" i="45"/>
  <c r="H4" i="45"/>
  <c r="G4" i="45"/>
  <c r="F4" i="45"/>
  <c r="E4" i="45"/>
  <c r="D12" i="45" s="1"/>
  <c r="D4" i="45"/>
  <c r="C4" i="45"/>
  <c r="I3" i="45"/>
  <c r="H3" i="45"/>
  <c r="G3" i="45"/>
  <c r="F3" i="45"/>
  <c r="E3" i="45"/>
  <c r="D3" i="45"/>
  <c r="C3" i="45"/>
  <c r="D16" i="43"/>
  <c r="D13" i="43"/>
  <c r="D12" i="43"/>
  <c r="D11" i="43"/>
  <c r="D10" i="43"/>
  <c r="D14" i="43"/>
  <c r="D15" i="43"/>
  <c r="D38" i="42"/>
  <c r="D37" i="42"/>
  <c r="D27" i="42"/>
  <c r="D15" i="42"/>
  <c r="D10" i="42"/>
  <c r="D11" i="42"/>
  <c r="D12" i="42"/>
  <c r="D13" i="42"/>
  <c r="D14" i="42"/>
  <c r="I5" i="43"/>
  <c r="H5" i="43"/>
  <c r="G5" i="43"/>
  <c r="F5" i="43"/>
  <c r="E5" i="43"/>
  <c r="D5" i="43"/>
  <c r="C5" i="43"/>
  <c r="E14" i="43" s="1"/>
  <c r="I4" i="43"/>
  <c r="H4" i="43"/>
  <c r="G4" i="43"/>
  <c r="F4" i="43"/>
  <c r="E4" i="43"/>
  <c r="D4" i="43"/>
  <c r="C4" i="43"/>
  <c r="E16" i="43" s="1"/>
  <c r="I3" i="43"/>
  <c r="H3" i="43"/>
  <c r="G3" i="43"/>
  <c r="F3" i="43"/>
  <c r="E3" i="43"/>
  <c r="D3" i="43"/>
  <c r="C3" i="43"/>
  <c r="D34" i="42"/>
  <c r="E34" i="42"/>
  <c r="D33" i="42"/>
  <c r="E33" i="42" s="1"/>
  <c r="I5" i="42"/>
  <c r="H5" i="42"/>
  <c r="G5" i="42"/>
  <c r="F5" i="42"/>
  <c r="E5" i="42"/>
  <c r="D5" i="42"/>
  <c r="E10" i="42" s="1"/>
  <c r="C5" i="42"/>
  <c r="D29" i="42" s="1"/>
  <c r="E29" i="42" s="1"/>
  <c r="I4" i="42"/>
  <c r="H4" i="42"/>
  <c r="G4" i="42"/>
  <c r="F4" i="42"/>
  <c r="E4" i="42"/>
  <c r="D4" i="42"/>
  <c r="C4" i="42"/>
  <c r="I3" i="42"/>
  <c r="H3" i="42"/>
  <c r="G3" i="42"/>
  <c r="F3" i="42"/>
  <c r="E3" i="42"/>
  <c r="D3" i="42"/>
  <c r="C3" i="42"/>
  <c r="F51" i="21"/>
  <c r="F50" i="21"/>
  <c r="F49" i="21"/>
  <c r="F48" i="21"/>
  <c r="F53" i="21"/>
  <c r="F52" i="21"/>
  <c r="F61" i="21"/>
  <c r="F101" i="21"/>
  <c r="F76" i="21"/>
  <c r="F75" i="21"/>
  <c r="F80" i="21"/>
  <c r="F79" i="21"/>
  <c r="F78" i="21"/>
  <c r="F77" i="21"/>
  <c r="D10" i="47" l="1"/>
  <c r="E10" i="47" s="1"/>
  <c r="D11" i="47"/>
  <c r="E11" i="47" s="1"/>
  <c r="D14" i="47"/>
  <c r="E14" i="47" s="1"/>
  <c r="D12" i="47"/>
  <c r="D14" i="46"/>
  <c r="E14" i="46" s="1"/>
  <c r="D15" i="46"/>
  <c r="E15" i="46" s="1"/>
  <c r="D22" i="46"/>
  <c r="E22" i="46" s="1"/>
  <c r="D20" i="46"/>
  <c r="E20" i="46" s="1"/>
  <c r="D21" i="46"/>
  <c r="E21" i="46" s="1"/>
  <c r="D12" i="46"/>
  <c r="D18" i="46"/>
  <c r="E18" i="46" s="1"/>
  <c r="D16" i="46"/>
  <c r="E16" i="46" s="1"/>
  <c r="D17" i="46"/>
  <c r="E17" i="46" s="1"/>
  <c r="D13" i="46"/>
  <c r="E13" i="46" s="1"/>
  <c r="D11" i="45"/>
  <c r="E11" i="45" s="1"/>
  <c r="D13" i="45"/>
  <c r="E13" i="45" s="1"/>
  <c r="D10" i="45"/>
  <c r="E10" i="45" s="1"/>
  <c r="E12" i="45"/>
  <c r="D14" i="45"/>
  <c r="E14" i="45" s="1"/>
  <c r="D15" i="45"/>
  <c r="E15" i="45" s="1"/>
  <c r="D22" i="45"/>
  <c r="E22" i="45" s="1"/>
  <c r="E15" i="43"/>
  <c r="E10" i="43"/>
  <c r="E11" i="43"/>
  <c r="E13" i="43"/>
  <c r="D32" i="42"/>
  <c r="E32" i="42" s="1"/>
  <c r="E13" i="42"/>
  <c r="E12" i="42"/>
  <c r="E14" i="42"/>
  <c r="E11" i="42"/>
  <c r="D18" i="42"/>
  <c r="E18" i="42" s="1"/>
  <c r="D30" i="42"/>
  <c r="E30" i="42" s="1"/>
  <c r="D19" i="42"/>
  <c r="E19" i="42" s="1"/>
  <c r="D25" i="42"/>
  <c r="E25" i="42" s="1"/>
  <c r="D31" i="42"/>
  <c r="E31" i="42" s="1"/>
  <c r="D22" i="42"/>
  <c r="E22" i="42" s="1"/>
  <c r="D24" i="42"/>
  <c r="E24" i="42" s="1"/>
  <c r="D20" i="42"/>
  <c r="E20" i="42" s="1"/>
  <c r="D26" i="42"/>
  <c r="E26" i="42" s="1"/>
  <c r="D35" i="42"/>
  <c r="E35" i="42" s="1"/>
  <c r="D21" i="42"/>
  <c r="E21" i="42" s="1"/>
  <c r="E27" i="42"/>
  <c r="D16" i="42"/>
  <c r="E16" i="42" s="1"/>
  <c r="D28" i="42"/>
  <c r="E28" i="42" s="1"/>
  <c r="D17" i="42"/>
  <c r="E17" i="42" s="1"/>
  <c r="D23" i="42"/>
  <c r="E23" i="42" s="1"/>
  <c r="I79" i="21"/>
  <c r="I78" i="21"/>
  <c r="I77" i="21"/>
  <c r="I76" i="21"/>
  <c r="I75" i="21"/>
  <c r="E12" i="47" l="1"/>
  <c r="D16" i="47"/>
  <c r="E12" i="46"/>
  <c r="D24" i="46"/>
  <c r="D24" i="45"/>
  <c r="E24" i="45" s="1"/>
  <c r="D18" i="43"/>
  <c r="D19" i="43" s="1"/>
  <c r="E12" i="43"/>
  <c r="E15" i="42"/>
  <c r="I106" i="21"/>
  <c r="F106" i="21"/>
  <c r="C106" i="21"/>
  <c r="I105" i="21"/>
  <c r="F105" i="21"/>
  <c r="C105" i="21"/>
  <c r="I104" i="21"/>
  <c r="F104" i="21"/>
  <c r="C104" i="21"/>
  <c r="I103" i="21"/>
  <c r="F103" i="21"/>
  <c r="C103" i="21"/>
  <c r="I102" i="21"/>
  <c r="F102" i="21"/>
  <c r="C102" i="21"/>
  <c r="I101" i="21"/>
  <c r="C101" i="21"/>
  <c r="E100" i="21"/>
  <c r="L115" i="21" s="1"/>
  <c r="I93" i="21"/>
  <c r="F93" i="21"/>
  <c r="C93" i="21"/>
  <c r="I92" i="21"/>
  <c r="F92" i="21"/>
  <c r="C92" i="21"/>
  <c r="I91" i="21"/>
  <c r="F91" i="21"/>
  <c r="C91" i="21"/>
  <c r="I90" i="21"/>
  <c r="F90" i="21"/>
  <c r="C90" i="21"/>
  <c r="I89" i="21"/>
  <c r="F89" i="21"/>
  <c r="C89" i="21"/>
  <c r="I88" i="21"/>
  <c r="F88" i="21"/>
  <c r="C88" i="21"/>
  <c r="D88" i="21" s="1"/>
  <c r="E87" i="21"/>
  <c r="K115" i="21" s="1"/>
  <c r="I80" i="21"/>
  <c r="I81" i="21" s="1"/>
  <c r="I82" i="21" s="1"/>
  <c r="C80" i="21"/>
  <c r="C79" i="21"/>
  <c r="C78" i="21"/>
  <c r="C77" i="21"/>
  <c r="C76" i="21"/>
  <c r="C75" i="21"/>
  <c r="E74" i="21"/>
  <c r="J115" i="21" s="1"/>
  <c r="I66" i="21"/>
  <c r="F66" i="21"/>
  <c r="C66" i="21"/>
  <c r="I65" i="21"/>
  <c r="F65" i="21"/>
  <c r="C65" i="21"/>
  <c r="I64" i="21"/>
  <c r="F64" i="21"/>
  <c r="C64" i="21"/>
  <c r="I63" i="21"/>
  <c r="F63" i="21"/>
  <c r="C63" i="21"/>
  <c r="I62" i="21"/>
  <c r="F62" i="21"/>
  <c r="C62" i="21"/>
  <c r="I61" i="21"/>
  <c r="C61" i="21"/>
  <c r="E60" i="21"/>
  <c r="I115" i="21" s="1"/>
  <c r="I53" i="21"/>
  <c r="C53" i="21"/>
  <c r="I52" i="21"/>
  <c r="C52" i="21"/>
  <c r="I51" i="21"/>
  <c r="C51" i="21"/>
  <c r="I50" i="21"/>
  <c r="C50" i="21"/>
  <c r="I49" i="21"/>
  <c r="C49" i="21"/>
  <c r="I48" i="21"/>
  <c r="C48" i="21"/>
  <c r="E47" i="21"/>
  <c r="H115" i="21" s="1"/>
  <c r="I40" i="21"/>
  <c r="F40" i="21"/>
  <c r="C40" i="21"/>
  <c r="I39" i="21"/>
  <c r="F39" i="21"/>
  <c r="C39" i="21"/>
  <c r="I38" i="21"/>
  <c r="F38" i="21"/>
  <c r="C38" i="21"/>
  <c r="I37" i="21"/>
  <c r="F37" i="21"/>
  <c r="C37" i="21"/>
  <c r="I36" i="21"/>
  <c r="F36" i="21"/>
  <c r="C36" i="21"/>
  <c r="I35" i="21"/>
  <c r="F35" i="21"/>
  <c r="C35" i="21"/>
  <c r="E34" i="21"/>
  <c r="G115" i="21" s="1"/>
  <c r="I27" i="21"/>
  <c r="F27" i="21"/>
  <c r="C27" i="21"/>
  <c r="I26" i="21"/>
  <c r="F26" i="21"/>
  <c r="C26" i="21"/>
  <c r="I25" i="21"/>
  <c r="F25" i="21"/>
  <c r="C25" i="21"/>
  <c r="I24" i="21"/>
  <c r="F24" i="21"/>
  <c r="C24" i="21"/>
  <c r="I23" i="21"/>
  <c r="F23" i="21"/>
  <c r="C23" i="21"/>
  <c r="I22" i="21"/>
  <c r="F22" i="21"/>
  <c r="C22" i="21"/>
  <c r="D22" i="21" s="1"/>
  <c r="E21" i="21"/>
  <c r="F115" i="21" s="1"/>
  <c r="D17" i="47" l="1"/>
  <c r="E17" i="47" s="1"/>
  <c r="E18" i="47" s="1"/>
  <c r="E16" i="47"/>
  <c r="D25" i="46"/>
  <c r="E25" i="46" s="1"/>
  <c r="E26" i="46" s="1"/>
  <c r="E24" i="46"/>
  <c r="D25" i="45"/>
  <c r="E25" i="45" s="1"/>
  <c r="E26" i="45" s="1"/>
  <c r="E19" i="43"/>
  <c r="E20" i="43" s="1"/>
  <c r="E18" i="43"/>
  <c r="E37" i="42"/>
  <c r="E38" i="42"/>
  <c r="E39" i="42" s="1"/>
  <c r="I83" i="21"/>
  <c r="J116" i="21" s="1"/>
  <c r="I96" i="21"/>
  <c r="K116" i="21" s="1"/>
  <c r="I56" i="21"/>
  <c r="H116" i="21" s="1"/>
  <c r="I70" i="21"/>
  <c r="I117" i="21" s="1"/>
  <c r="I28" i="21"/>
  <c r="I29" i="21" s="1"/>
  <c r="I107" i="21"/>
  <c r="I108" i="21" s="1"/>
  <c r="I41" i="21"/>
  <c r="I42" i="21" s="1"/>
  <c r="I31" i="21"/>
  <c r="I32" i="21" s="1"/>
  <c r="I109" i="21"/>
  <c r="L116" i="21" s="1"/>
  <c r="I97" i="21"/>
  <c r="I98" i="21" s="1"/>
  <c r="I94" i="21"/>
  <c r="I95" i="21" s="1"/>
  <c r="I43" i="21"/>
  <c r="G116" i="21" s="1"/>
  <c r="I44" i="21"/>
  <c r="I45" i="21" s="1"/>
  <c r="I30" i="21"/>
  <c r="F116" i="21" s="1"/>
  <c r="I69" i="21"/>
  <c r="I116" i="21" s="1"/>
  <c r="I110" i="21"/>
  <c r="I111" i="21" s="1"/>
  <c r="I67" i="21"/>
  <c r="I68" i="21" s="1"/>
  <c r="I84" i="21"/>
  <c r="I85" i="21" s="1"/>
  <c r="I54" i="21"/>
  <c r="I55" i="21" s="1"/>
  <c r="I57" i="21"/>
  <c r="K121" i="21" l="1"/>
  <c r="K122" i="21" s="1"/>
  <c r="G118" i="21"/>
  <c r="G119" i="21" s="1"/>
  <c r="I71" i="21"/>
  <c r="H118" i="21"/>
  <c r="H119" i="21" s="1"/>
  <c r="G121" i="21"/>
  <c r="G122" i="21" s="1"/>
  <c r="L121" i="21"/>
  <c r="L122" i="21" s="1"/>
  <c r="F117" i="21"/>
  <c r="K117" i="21"/>
  <c r="G117" i="21"/>
  <c r="L118" i="21"/>
  <c r="L119" i="21" s="1"/>
  <c r="F121" i="21"/>
  <c r="F122" i="21" s="1"/>
  <c r="H117" i="21"/>
  <c r="I58" i="21"/>
  <c r="J121" i="21"/>
  <c r="J122" i="21" s="1"/>
  <c r="J118" i="21"/>
  <c r="J119" i="21" s="1"/>
  <c r="J117" i="21"/>
  <c r="L117" i="21"/>
  <c r="K118" i="21"/>
  <c r="K119" i="21" s="1"/>
  <c r="I121" i="21"/>
  <c r="I122" i="21" s="1"/>
  <c r="I118" i="21"/>
  <c r="I119" i="21" s="1"/>
  <c r="O128" i="21" l="1"/>
</calcChain>
</file>

<file path=xl/sharedStrings.xml><?xml version="1.0" encoding="utf-8"?>
<sst xmlns="http://schemas.openxmlformats.org/spreadsheetml/2006/main" count="265" uniqueCount="115">
  <si>
    <t>R2</t>
  </si>
  <si>
    <t>SLOPE</t>
  </si>
  <si>
    <t>1-BPAA</t>
  </si>
  <si>
    <t>INSTRUMENT ID</t>
  </si>
  <si>
    <t xml:space="preserve">                Date :</t>
  </si>
  <si>
    <t>Average</t>
  </si>
  <si>
    <t>NEWATOM LABS PRIVATE LTD. R&amp;D CENTRE</t>
  </si>
  <si>
    <t>ANALYTICAL METHOD VALIDATION</t>
  </si>
  <si>
    <t>Linearity and Range</t>
  </si>
  <si>
    <t>PARAMETER</t>
  </si>
  <si>
    <t>PROJECT</t>
  </si>
  <si>
    <t>TEST</t>
  </si>
  <si>
    <t>NAL/ARD/HPLC-04</t>
  </si>
  <si>
    <t>Standard/Imp name</t>
  </si>
  <si>
    <t>Standard/Imp wt (mg)</t>
  </si>
  <si>
    <t>Purity/Potency (%)</t>
  </si>
  <si>
    <t>DAPBI</t>
  </si>
  <si>
    <t>Peak area-1</t>
  </si>
  <si>
    <t>Peak area-2</t>
  </si>
  <si>
    <t>Stock solution (mL)</t>
  </si>
  <si>
    <t>volume taken (mL)</t>
  </si>
  <si>
    <t>Imtermediate stock (mL)</t>
  </si>
  <si>
    <t>Linearity-2 (50%)</t>
  </si>
  <si>
    <t>Linearity-3 (75%)</t>
  </si>
  <si>
    <t>Linearity-4 (100%)</t>
  </si>
  <si>
    <t>Linearity-5 (125%)</t>
  </si>
  <si>
    <t>Linearity-6 (150%</t>
  </si>
  <si>
    <t>LOQ (30%)</t>
  </si>
  <si>
    <t>Batch No.</t>
  </si>
  <si>
    <t>TABA</t>
  </si>
  <si>
    <t>4,4-DABA</t>
  </si>
  <si>
    <t>2-AP 4-AB</t>
  </si>
  <si>
    <t>PABI</t>
  </si>
  <si>
    <t>4-BIA</t>
  </si>
  <si>
    <t>Impurity name</t>
  </si>
  <si>
    <t>Slope</t>
  </si>
  <si>
    <t>Intercept</t>
  </si>
  <si>
    <t>% Y-Intrercept</t>
  </si>
  <si>
    <t>Correlation coefficient (R)</t>
  </si>
  <si>
    <t>RRF wrt TABA</t>
  </si>
  <si>
    <t>CF wrt TABA</t>
  </si>
  <si>
    <t>RRF wrt DAPBI</t>
  </si>
  <si>
    <t>CF wrt DAPBI</t>
  </si>
  <si>
    <t>Concentration(ppm)</t>
  </si>
  <si>
    <t>Total imp</t>
  </si>
  <si>
    <t>Y-Intercept</t>
  </si>
  <si>
    <t>PPM</t>
  </si>
  <si>
    <t>Sum of Unknown imp</t>
  </si>
  <si>
    <t xml:space="preserve"> </t>
  </si>
  <si>
    <t>Purity (%)</t>
  </si>
  <si>
    <t xml:space="preserve">Peak Area </t>
  </si>
  <si>
    <t xml:space="preserve"> %</t>
  </si>
  <si>
    <t>Batch no.</t>
  </si>
  <si>
    <t>AR No.</t>
  </si>
  <si>
    <t>Correlation coefficient ®</t>
  </si>
  <si>
    <t>2, 4-DAPBA</t>
  </si>
  <si>
    <t>2,4-DAPBA</t>
  </si>
  <si>
    <t>2-AP,4-AB</t>
  </si>
  <si>
    <t>DAPBI (APB/A03) (Stage-3)</t>
  </si>
  <si>
    <t>RRT~ 1.224</t>
  </si>
  <si>
    <t>RRT~ 1.438</t>
  </si>
  <si>
    <t>RRT~ 2.100</t>
  </si>
  <si>
    <t>RRT~ 1.923</t>
  </si>
  <si>
    <t>RRT~ 0.831</t>
  </si>
  <si>
    <t>RRT~ 1.578</t>
  </si>
  <si>
    <t>RRT~ 1.773</t>
  </si>
  <si>
    <t>RRT~ 2.418</t>
  </si>
  <si>
    <t>RRT~ 2.608</t>
  </si>
  <si>
    <t>RRT~ 2.690</t>
  </si>
  <si>
    <t>RRT~ 2.775</t>
  </si>
  <si>
    <t>RRT~ 2.866</t>
  </si>
  <si>
    <t>RRT~ 2.901</t>
  </si>
  <si>
    <t>RRT~ 2.974</t>
  </si>
  <si>
    <t>RRT~ 3.021</t>
  </si>
  <si>
    <t>RRT~ 3.105</t>
  </si>
  <si>
    <t>RRT~ 3.227</t>
  </si>
  <si>
    <t>RRT~ 3.382</t>
  </si>
  <si>
    <t>RRT~ 3.653</t>
  </si>
  <si>
    <t>RRT~3.841</t>
  </si>
  <si>
    <t>RRT~ 3.982</t>
  </si>
  <si>
    <t>RRT~ 4.231</t>
  </si>
  <si>
    <t>RRT~ 4.319</t>
  </si>
  <si>
    <t>RRT~ 5.413</t>
  </si>
  <si>
    <t>RRT~ 5.684</t>
  </si>
  <si>
    <t>SA002 APB A02 54</t>
  </si>
  <si>
    <t>SA002-APB-A03-033 RC</t>
  </si>
  <si>
    <t>RRT~ 1.264</t>
  </si>
  <si>
    <t>RRT~ 1.315</t>
  </si>
  <si>
    <t>RRT~ 1.203</t>
  </si>
  <si>
    <t>SA002-APB-A03-34 Carbon filter</t>
  </si>
  <si>
    <t>RRT~ 0.422</t>
  </si>
  <si>
    <t>RRT~ 1.204</t>
  </si>
  <si>
    <t>RRT~ 1.226</t>
  </si>
  <si>
    <t>RRT~ 1.276</t>
  </si>
  <si>
    <t>RRT~ 1.310</t>
  </si>
  <si>
    <t>RRT~ 1.488</t>
  </si>
  <si>
    <t>RRT~ 1.631</t>
  </si>
  <si>
    <t>RRT~ 1.871</t>
  </si>
  <si>
    <t>RRT~ 1.922</t>
  </si>
  <si>
    <t>RRT~ 2.051</t>
  </si>
  <si>
    <t>SA002-APB-A03-035 Sulphate salt</t>
  </si>
  <si>
    <t>RRT~ 0.881</t>
  </si>
  <si>
    <t>RRT~ 1.507</t>
  </si>
  <si>
    <t>RRT~ 1.651</t>
  </si>
  <si>
    <t>RRT~ 1.736</t>
  </si>
  <si>
    <t>RRT~ 2.151</t>
  </si>
  <si>
    <t>RRT~ 1.212</t>
  </si>
  <si>
    <t>RRT~ 1.235</t>
  </si>
  <si>
    <t>RRT~ 1.611</t>
  </si>
  <si>
    <t>HPLC/2512/475</t>
  </si>
  <si>
    <t>HPLC/2512/473</t>
  </si>
  <si>
    <t>HPLC/2512/472</t>
  </si>
  <si>
    <t>HPLC/2512/474</t>
  </si>
  <si>
    <t>HPLC/2512/479</t>
  </si>
  <si>
    <t>SA002-APB-A03-033-solid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</si>
</sst>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#,##0.0"/>
    <numFmt numFmtId="166" formatCode="0.000"/>
    <numFmt numFmtId="167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4" fontId="1" fillId="0" borderId="2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2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/>
    <xf numFmtId="166" fontId="0" fillId="0" borderId="0" xfId="0" applyNumberFormat="1"/>
    <xf numFmtId="0" fontId="0" fillId="0" borderId="0" xfId="0" applyAlignment="1">
      <alignment wrapText="1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0" fontId="7" fillId="0" borderId="31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0" fontId="7" fillId="0" borderId="0" xfId="0" applyFont="1"/>
    <xf numFmtId="14" fontId="7" fillId="5" borderId="26" xfId="0" applyNumberFormat="1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166" fontId="7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2" fontId="8" fillId="0" borderId="9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0" xfId="0" applyFont="1"/>
    <xf numFmtId="2" fontId="8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0" fontId="7" fillId="0" borderId="26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/>
    </xf>
    <xf numFmtId="0" fontId="7" fillId="0" borderId="9" xfId="0" applyFont="1" applyBorder="1"/>
    <xf numFmtId="2" fontId="7" fillId="0" borderId="10" xfId="0" applyNumberFormat="1" applyFont="1" applyBorder="1" applyAlignment="1">
      <alignment horizontal="center"/>
    </xf>
    <xf numFmtId="1" fontId="7" fillId="0" borderId="36" xfId="0" applyNumberFormat="1" applyFont="1" applyBorder="1" applyAlignment="1">
      <alignment horizontal="center" vertical="center"/>
    </xf>
    <xf numFmtId="166" fontId="7" fillId="0" borderId="36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" fillId="0" borderId="2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4,4-DABA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258814523184601"/>
                  <c:y val="-6.36575531184017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'26-12-2025'!$F$35:$F$40</c:f>
              <c:numCache>
                <c:formatCode>0.0000</c:formatCode>
                <c:ptCount val="6"/>
                <c:pt idx="0">
                  <c:v>25.749500000000005</c:v>
                </c:pt>
                <c:pt idx="1">
                  <c:v>64.373750000000001</c:v>
                </c:pt>
                <c:pt idx="2">
                  <c:v>96.560625000000016</c:v>
                </c:pt>
                <c:pt idx="3">
                  <c:v>128.7475</c:v>
                </c:pt>
                <c:pt idx="4">
                  <c:v>160.93437499999999</c:v>
                </c:pt>
                <c:pt idx="5">
                  <c:v>193.12125000000003</c:v>
                </c:pt>
              </c:numCache>
            </c:numRef>
          </c:xVal>
          <c:yVal>
            <c:numRef>
              <c:f>'26-12-2025'!$I$35:$I$40</c:f>
              <c:numCache>
                <c:formatCode>0</c:formatCode>
                <c:ptCount val="6"/>
                <c:pt idx="0">
                  <c:v>5588</c:v>
                </c:pt>
                <c:pt idx="1">
                  <c:v>13517</c:v>
                </c:pt>
                <c:pt idx="2">
                  <c:v>20142</c:v>
                </c:pt>
                <c:pt idx="3">
                  <c:v>25222</c:v>
                </c:pt>
                <c:pt idx="4">
                  <c:v>32404</c:v>
                </c:pt>
                <c:pt idx="5">
                  <c:v>38728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DF-469D-82AA-8DF378F79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174208"/>
        <c:axId val="134176128"/>
      </c:scatterChart>
      <c:valAx>
        <c:axId val="134174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76128"/>
        <c:crosses val="autoZero"/>
        <c:crossBetween val="midCat"/>
      </c:valAx>
      <c:valAx>
        <c:axId val="134176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74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DAPBI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457378638481"/>
                  <c:y val="-5.50909090909090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'26-12-2025'!$F$48:$F$53</c:f>
              <c:numCache>
                <c:formatCode>0.0000</c:formatCode>
                <c:ptCount val="6"/>
                <c:pt idx="0">
                  <c:v>25.798499999999997</c:v>
                </c:pt>
                <c:pt idx="1">
                  <c:v>64.496249999999989</c:v>
                </c:pt>
                <c:pt idx="2">
                  <c:v>96.744374999999991</c:v>
                </c:pt>
                <c:pt idx="3">
                  <c:v>128.99249999999998</c:v>
                </c:pt>
                <c:pt idx="4">
                  <c:v>161.24062499999999</c:v>
                </c:pt>
                <c:pt idx="5">
                  <c:v>193.48874999999998</c:v>
                </c:pt>
              </c:numCache>
            </c:numRef>
          </c:xVal>
          <c:yVal>
            <c:numRef>
              <c:f>'26-12-2025'!$I$48:$I$53</c:f>
              <c:numCache>
                <c:formatCode>0</c:formatCode>
                <c:ptCount val="6"/>
                <c:pt idx="0">
                  <c:v>5143</c:v>
                </c:pt>
                <c:pt idx="1">
                  <c:v>12466</c:v>
                </c:pt>
                <c:pt idx="2">
                  <c:v>18629</c:v>
                </c:pt>
                <c:pt idx="3">
                  <c:v>23280</c:v>
                </c:pt>
                <c:pt idx="4">
                  <c:v>30097</c:v>
                </c:pt>
                <c:pt idx="5">
                  <c:v>35891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1E-4A09-A8CF-7E2094AEA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893440"/>
        <c:axId val="228896128"/>
      </c:scatterChart>
      <c:valAx>
        <c:axId val="228893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896128"/>
        <c:crosses val="autoZero"/>
        <c:crossBetween val="midCat"/>
      </c:valAx>
      <c:valAx>
        <c:axId val="228896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893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2-AP 4-AB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245678749615759"/>
                  <c:y val="-7.933333333333333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'26-12-2025'!$F$61:$F$66</c:f>
              <c:numCache>
                <c:formatCode>0.0000</c:formatCode>
                <c:ptCount val="6"/>
                <c:pt idx="0">
                  <c:v>26.852017500000006</c:v>
                </c:pt>
                <c:pt idx="1">
                  <c:v>67.130043749999999</c:v>
                </c:pt>
                <c:pt idx="2">
                  <c:v>100.69506562500001</c:v>
                </c:pt>
                <c:pt idx="3">
                  <c:v>134.2600875</c:v>
                </c:pt>
                <c:pt idx="4">
                  <c:v>167.82510937500001</c:v>
                </c:pt>
                <c:pt idx="5">
                  <c:v>201.39013125000002</c:v>
                </c:pt>
              </c:numCache>
            </c:numRef>
          </c:xVal>
          <c:yVal>
            <c:numRef>
              <c:f>'26-12-2025'!$I$61:$I$66</c:f>
              <c:numCache>
                <c:formatCode>0</c:formatCode>
                <c:ptCount val="6"/>
                <c:pt idx="0">
                  <c:v>3545</c:v>
                </c:pt>
                <c:pt idx="1">
                  <c:v>8555</c:v>
                </c:pt>
                <c:pt idx="2">
                  <c:v>12778</c:v>
                </c:pt>
                <c:pt idx="3">
                  <c:v>15983</c:v>
                </c:pt>
                <c:pt idx="4">
                  <c:v>20537</c:v>
                </c:pt>
                <c:pt idx="5">
                  <c:v>24488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8E-4AD7-A7B5-A54341542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07264"/>
        <c:axId val="38509184"/>
      </c:scatterChart>
      <c:valAx>
        <c:axId val="38507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09184"/>
        <c:crosses val="autoZero"/>
        <c:crossBetween val="midCat"/>
      </c:valAx>
      <c:valAx>
        <c:axId val="385091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0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DAPBA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998604904116716"/>
                  <c:y val="-8.539393939393939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'26-12-2025'!$F$75:$F$80</c:f>
              <c:numCache>
                <c:formatCode>0.0000</c:formatCode>
                <c:ptCount val="6"/>
                <c:pt idx="0">
                  <c:v>26.233200000000004</c:v>
                </c:pt>
                <c:pt idx="1">
                  <c:v>65.583000000000013</c:v>
                </c:pt>
                <c:pt idx="2">
                  <c:v>98.374500000000012</c:v>
                </c:pt>
                <c:pt idx="3">
                  <c:v>131.16600000000003</c:v>
                </c:pt>
                <c:pt idx="4">
                  <c:v>163.95750000000001</c:v>
                </c:pt>
                <c:pt idx="5">
                  <c:v>196.74900000000002</c:v>
                </c:pt>
              </c:numCache>
            </c:numRef>
          </c:xVal>
          <c:yVal>
            <c:numRef>
              <c:f>'26-12-2025'!$I$75:$I$80</c:f>
              <c:numCache>
                <c:formatCode>0</c:formatCode>
                <c:ptCount val="6"/>
                <c:pt idx="0">
                  <c:v>788</c:v>
                </c:pt>
                <c:pt idx="1">
                  <c:v>1904</c:v>
                </c:pt>
                <c:pt idx="2">
                  <c:v>2847</c:v>
                </c:pt>
                <c:pt idx="3">
                  <c:v>3558</c:v>
                </c:pt>
                <c:pt idx="4">
                  <c:v>4553</c:v>
                </c:pt>
                <c:pt idx="5">
                  <c:v>5442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66-4C6B-8319-23C7BFA73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28512"/>
        <c:axId val="38530432"/>
      </c:scatterChart>
      <c:valAx>
        <c:axId val="38528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30432"/>
        <c:crosses val="autoZero"/>
        <c:crossBetween val="midCat"/>
      </c:valAx>
      <c:valAx>
        <c:axId val="385304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28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PABI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5862784043886405"/>
                  <c:y val="-7.327272727272726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'26-12-2025'!$F$88:$F$93</c:f>
              <c:numCache>
                <c:formatCode>0.0000</c:formatCode>
                <c:ptCount val="6"/>
                <c:pt idx="0">
                  <c:v>12.125000000000004</c:v>
                </c:pt>
                <c:pt idx="1">
                  <c:v>30.3125</c:v>
                </c:pt>
                <c:pt idx="2">
                  <c:v>45.468750000000007</c:v>
                </c:pt>
                <c:pt idx="3">
                  <c:v>60.625</c:v>
                </c:pt>
                <c:pt idx="4">
                  <c:v>75.78125</c:v>
                </c:pt>
                <c:pt idx="5">
                  <c:v>90.937500000000014</c:v>
                </c:pt>
              </c:numCache>
            </c:numRef>
          </c:xVal>
          <c:yVal>
            <c:numRef>
              <c:f>'26-12-2025'!$I$88:$I$93</c:f>
              <c:numCache>
                <c:formatCode>0</c:formatCode>
                <c:ptCount val="6"/>
                <c:pt idx="0">
                  <c:v>1665</c:v>
                </c:pt>
                <c:pt idx="1">
                  <c:v>4200</c:v>
                </c:pt>
                <c:pt idx="2">
                  <c:v>6222</c:v>
                </c:pt>
                <c:pt idx="3">
                  <c:v>7914</c:v>
                </c:pt>
                <c:pt idx="4">
                  <c:v>10476</c:v>
                </c:pt>
                <c:pt idx="5">
                  <c:v>12636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B6-4FA0-91B0-F7B7CF462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788352"/>
        <c:axId val="132547712"/>
      </c:scatterChart>
      <c:valAx>
        <c:axId val="13078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47712"/>
        <c:crosses val="autoZero"/>
        <c:crossBetween val="midCat"/>
      </c:valAx>
      <c:valAx>
        <c:axId val="1325477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788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4-BIA</a:t>
            </a:r>
          </a:p>
        </c:rich>
      </c:tx>
      <c:layout>
        <c:manualLayout>
          <c:xMode val="edge"/>
          <c:yMode val="edge"/>
          <c:x val="0.43477477477477477"/>
          <c:y val="3.636363636363636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757678938781302"/>
                  <c:y val="-9.145454545454545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'26-12-2025'!$F$101:$F$106</c:f>
              <c:numCache>
                <c:formatCode>0.0000</c:formatCode>
                <c:ptCount val="6"/>
                <c:pt idx="0">
                  <c:v>13.668633</c:v>
                </c:pt>
                <c:pt idx="1">
                  <c:v>34.171582499999992</c:v>
                </c:pt>
                <c:pt idx="2">
                  <c:v>51.257373749999999</c:v>
                </c:pt>
                <c:pt idx="3">
                  <c:v>68.343164999999985</c:v>
                </c:pt>
                <c:pt idx="4">
                  <c:v>85.428956249999999</c:v>
                </c:pt>
                <c:pt idx="5">
                  <c:v>102.5147475</c:v>
                </c:pt>
              </c:numCache>
            </c:numRef>
          </c:xVal>
          <c:yVal>
            <c:numRef>
              <c:f>'26-12-2025'!$I$101:$I$106</c:f>
              <c:numCache>
                <c:formatCode>0</c:formatCode>
                <c:ptCount val="6"/>
                <c:pt idx="0">
                  <c:v>5627</c:v>
                </c:pt>
                <c:pt idx="1">
                  <c:v>12112</c:v>
                </c:pt>
                <c:pt idx="2">
                  <c:v>17044</c:v>
                </c:pt>
                <c:pt idx="3">
                  <c:v>22673</c:v>
                </c:pt>
                <c:pt idx="4">
                  <c:v>29130</c:v>
                </c:pt>
                <c:pt idx="5">
                  <c:v>37294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C2-48C8-A209-4C4C85EC295B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'26-12-2025'!$F$101:$F$106</c:f>
              <c:numCache>
                <c:formatCode>0.0000</c:formatCode>
                <c:ptCount val="6"/>
                <c:pt idx="0">
                  <c:v>13.668633</c:v>
                </c:pt>
                <c:pt idx="1">
                  <c:v>34.171582499999992</c:v>
                </c:pt>
                <c:pt idx="2">
                  <c:v>51.257373749999999</c:v>
                </c:pt>
                <c:pt idx="3">
                  <c:v>68.343164999999985</c:v>
                </c:pt>
                <c:pt idx="4">
                  <c:v>85.428956249999999</c:v>
                </c:pt>
                <c:pt idx="5">
                  <c:v>102.5147475</c:v>
                </c:pt>
              </c:numCache>
            </c:numRef>
          </c:xVal>
          <c:yVal>
            <c:numRef>
              <c:f>'26-12-2025'!$G$101:$G$106</c:f>
              <c:numCache>
                <c:formatCode>General</c:formatCode>
                <c:ptCount val="6"/>
                <c:pt idx="0">
                  <c:v>5627</c:v>
                </c:pt>
                <c:pt idx="1">
                  <c:v>12112</c:v>
                </c:pt>
                <c:pt idx="2">
                  <c:v>17044</c:v>
                </c:pt>
                <c:pt idx="3">
                  <c:v>22673</c:v>
                </c:pt>
                <c:pt idx="4">
                  <c:v>29130</c:v>
                </c:pt>
                <c:pt idx="5">
                  <c:v>34871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AC2-48C8-A209-4C4C85EC2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912256"/>
        <c:axId val="136914816"/>
      </c:scatterChart>
      <c:valAx>
        <c:axId val="136912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914816"/>
        <c:crosses val="autoZero"/>
        <c:crossBetween val="midCat"/>
      </c:valAx>
      <c:valAx>
        <c:axId val="136914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912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5978087225576624"/>
                  <c:y val="-8.78098730528882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'26-12-2025'!$F$22:$F$27</c:f>
              <c:numCache>
                <c:formatCode>0.0000</c:formatCode>
                <c:ptCount val="6"/>
                <c:pt idx="0">
                  <c:v>26.532</c:v>
                </c:pt>
                <c:pt idx="1">
                  <c:v>66.33</c:v>
                </c:pt>
                <c:pt idx="2">
                  <c:v>99.49499999999999</c:v>
                </c:pt>
                <c:pt idx="3">
                  <c:v>132.66</c:v>
                </c:pt>
                <c:pt idx="4">
                  <c:v>165.82500000000002</c:v>
                </c:pt>
                <c:pt idx="5">
                  <c:v>198.98999999999998</c:v>
                </c:pt>
              </c:numCache>
            </c:numRef>
          </c:xVal>
          <c:yVal>
            <c:numRef>
              <c:f>'26-12-2025'!$H$22:$H$27</c:f>
              <c:numCache>
                <c:formatCode>General</c:formatCode>
                <c:ptCount val="6"/>
                <c:pt idx="0">
                  <c:v>3749</c:v>
                </c:pt>
                <c:pt idx="1">
                  <c:v>9198</c:v>
                </c:pt>
                <c:pt idx="2">
                  <c:v>13660</c:v>
                </c:pt>
                <c:pt idx="3">
                  <c:v>17046</c:v>
                </c:pt>
                <c:pt idx="4">
                  <c:v>21924</c:v>
                </c:pt>
                <c:pt idx="5">
                  <c:v>26233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29-4BB5-966F-171E101C3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936448"/>
        <c:axId val="136942336"/>
      </c:scatterChart>
      <c:valAx>
        <c:axId val="136936448"/>
        <c:scaling>
          <c:orientation val="minMax"/>
        </c:scaling>
        <c:delete val="0"/>
        <c:axPos val="b"/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942336"/>
        <c:crosses val="autoZero"/>
        <c:crossBetween val="midCat"/>
      </c:valAx>
      <c:valAx>
        <c:axId val="136942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936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66675</xdr:colOff>
      <xdr:row>6</xdr:row>
      <xdr:rowOff>104775</xdr:rowOff>
    </xdr:from>
    <xdr:to>
      <xdr:col>12</xdr:col>
      <xdr:colOff>1495424</xdr:colOff>
      <xdr:row>8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038225"/>
          <a:ext cx="1428749" cy="40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652462</xdr:colOff>
      <xdr:row>33</xdr:row>
      <xdr:rowOff>4762</xdr:rowOff>
    </xdr:from>
    <xdr:to>
      <xdr:col>12</xdr:col>
      <xdr:colOff>1238250</xdr:colOff>
      <xdr:row>43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609600</xdr:colOff>
      <xdr:row>46</xdr:row>
      <xdr:rowOff>19050</xdr:rowOff>
    </xdr:from>
    <xdr:to>
      <xdr:col>12</xdr:col>
      <xdr:colOff>1333500</xdr:colOff>
      <xdr:row>57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619125</xdr:colOff>
      <xdr:row>57</xdr:row>
      <xdr:rowOff>171450</xdr:rowOff>
    </xdr:from>
    <xdr:to>
      <xdr:col>12</xdr:col>
      <xdr:colOff>1343025</xdr:colOff>
      <xdr:row>69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714375</xdr:colOff>
      <xdr:row>72</xdr:row>
      <xdr:rowOff>180975</xdr:rowOff>
    </xdr:from>
    <xdr:to>
      <xdr:col>12</xdr:col>
      <xdr:colOff>1438275</xdr:colOff>
      <xdr:row>84</xdr:row>
      <xdr:rowOff>180975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762000</xdr:colOff>
      <xdr:row>85</xdr:row>
      <xdr:rowOff>152400</xdr:rowOff>
    </xdr:from>
    <xdr:to>
      <xdr:col>12</xdr:col>
      <xdr:colOff>1485900</xdr:colOff>
      <xdr:row>97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657225</xdr:colOff>
      <xdr:row>99</xdr:row>
      <xdr:rowOff>0</xdr:rowOff>
    </xdr:from>
    <xdr:to>
      <xdr:col>12</xdr:col>
      <xdr:colOff>1381125</xdr:colOff>
      <xdr:row>110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471487</xdr:colOff>
      <xdr:row>18</xdr:row>
      <xdr:rowOff>61912</xdr:rowOff>
    </xdr:from>
    <xdr:to>
      <xdr:col>12</xdr:col>
      <xdr:colOff>819150</xdr:colOff>
      <xdr:row>31</xdr:row>
      <xdr:rowOff>57150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4:X129"/>
  <sheetViews>
    <sheetView topLeftCell="A37" zoomScale="85" zoomScaleNormal="85" workbookViewId="0">
      <selection activeCell="F61" sqref="F61:F66"/>
    </sheetView>
  </sheetViews>
  <sheetFormatPr defaultRowHeight="15" x14ac:dyDescent="0.25"/>
  <cols>
    <col min="2" max="2" width="13" customWidth="1"/>
    <col min="3" max="3" width="11.42578125" bestFit="1" customWidth="1"/>
    <col min="4" max="5" width="28.42578125" bestFit="1" customWidth="1"/>
    <col min="6" max="6" width="24.85546875" customWidth="1"/>
    <col min="7" max="7" width="19.42578125" customWidth="1"/>
    <col min="8" max="8" width="19.7109375" customWidth="1"/>
    <col min="9" max="9" width="16.7109375" customWidth="1"/>
    <col min="10" max="10" width="18" customWidth="1"/>
    <col min="11" max="11" width="15.7109375" customWidth="1"/>
    <col min="12" max="12" width="18.85546875" customWidth="1"/>
    <col min="13" max="13" width="23.85546875" customWidth="1"/>
    <col min="14" max="14" width="9.140625" customWidth="1"/>
    <col min="15" max="15" width="21.85546875" customWidth="1"/>
    <col min="16" max="16" width="12.85546875" customWidth="1"/>
    <col min="17" max="17" width="15.7109375" customWidth="1"/>
    <col min="18" max="18" width="13.42578125" customWidth="1"/>
    <col min="19" max="19" width="11.5703125" customWidth="1"/>
    <col min="21" max="21" width="13.7109375" customWidth="1"/>
    <col min="22" max="23" width="18.28515625" customWidth="1"/>
    <col min="24" max="24" width="16.28515625" customWidth="1"/>
  </cols>
  <sheetData>
    <row r="4" spans="5:24" ht="12.75" customHeight="1" thickBot="1" x14ac:dyDescent="0.3">
      <c r="V4" s="107" t="s">
        <v>2</v>
      </c>
      <c r="W4" s="107"/>
      <c r="X4" s="107"/>
    </row>
    <row r="5" spans="5:24" ht="15.75" hidden="1" thickBot="1" x14ac:dyDescent="0.3">
      <c r="V5" s="108"/>
      <c r="W5" s="108"/>
      <c r="X5" s="108"/>
    </row>
    <row r="6" spans="5:24" ht="15.75" thickBot="1" x14ac:dyDescent="0.3">
      <c r="E6" s="109" t="s">
        <v>6</v>
      </c>
      <c r="F6" s="110"/>
      <c r="G6" s="110"/>
      <c r="H6" s="110"/>
      <c r="I6" s="110"/>
      <c r="J6" s="110"/>
      <c r="K6" s="110"/>
      <c r="L6" s="111"/>
      <c r="M6" s="112"/>
      <c r="O6" s="115"/>
      <c r="P6" s="115"/>
      <c r="Q6" s="115"/>
      <c r="R6" s="115"/>
      <c r="S6" s="115"/>
      <c r="T6" s="115"/>
      <c r="U6" s="115"/>
      <c r="V6" s="116"/>
      <c r="W6" s="116"/>
      <c r="X6" s="116"/>
    </row>
    <row r="7" spans="5:24" ht="15.75" thickBot="1" x14ac:dyDescent="0.3">
      <c r="E7" s="117" t="s">
        <v>7</v>
      </c>
      <c r="F7" s="118"/>
      <c r="G7" s="118"/>
      <c r="H7" s="118"/>
      <c r="I7" s="118"/>
      <c r="J7" s="118"/>
      <c r="K7" s="118"/>
      <c r="L7" s="119"/>
      <c r="M7" s="113"/>
      <c r="O7" s="115"/>
      <c r="P7" s="5"/>
      <c r="Q7" s="5"/>
      <c r="R7" s="5"/>
      <c r="S7" s="5"/>
      <c r="T7" s="5"/>
      <c r="U7" s="5"/>
      <c r="V7" s="116"/>
      <c r="W7" s="116"/>
      <c r="X7" s="116"/>
    </row>
    <row r="8" spans="5:24" ht="15.75" thickBot="1" x14ac:dyDescent="0.3">
      <c r="E8" s="13" t="s">
        <v>11</v>
      </c>
      <c r="F8" s="120"/>
      <c r="G8" s="121"/>
      <c r="H8" s="121"/>
      <c r="I8" s="121"/>
      <c r="J8" s="121"/>
      <c r="K8" s="121"/>
      <c r="L8" s="122"/>
      <c r="M8" s="113"/>
      <c r="O8" s="115"/>
      <c r="P8" s="5"/>
      <c r="Q8" s="5"/>
      <c r="R8" s="5"/>
      <c r="S8" s="5"/>
      <c r="T8" s="5"/>
      <c r="U8" s="5"/>
      <c r="V8" s="116"/>
      <c r="W8" s="116"/>
      <c r="X8" s="116"/>
    </row>
    <row r="9" spans="5:24" ht="15.75" thickBot="1" x14ac:dyDescent="0.3">
      <c r="E9" s="12" t="s">
        <v>10</v>
      </c>
      <c r="F9" s="123"/>
      <c r="G9" s="124"/>
      <c r="H9" s="124"/>
      <c r="I9" s="124"/>
      <c r="J9" s="124"/>
      <c r="K9" s="124"/>
      <c r="L9" s="125"/>
      <c r="M9" s="113"/>
      <c r="O9" s="115"/>
      <c r="P9" s="5"/>
      <c r="Q9" s="5"/>
      <c r="R9" s="5"/>
      <c r="S9" s="5"/>
      <c r="T9" s="5"/>
      <c r="U9" s="5"/>
      <c r="V9" s="116"/>
      <c r="W9" s="116"/>
      <c r="X9" s="116"/>
    </row>
    <row r="10" spans="5:24" ht="21.75" customHeight="1" thickBot="1" x14ac:dyDescent="0.3">
      <c r="E10" s="12" t="s">
        <v>9</v>
      </c>
      <c r="F10" s="123" t="s">
        <v>8</v>
      </c>
      <c r="G10" s="124"/>
      <c r="H10" s="124"/>
      <c r="I10" s="124"/>
      <c r="J10" s="124"/>
      <c r="K10" s="124"/>
      <c r="L10" s="126"/>
      <c r="M10" s="114"/>
      <c r="O10" s="115"/>
      <c r="P10" s="5"/>
      <c r="Q10" s="5"/>
      <c r="R10" s="5"/>
      <c r="S10" s="5"/>
      <c r="T10" s="5"/>
      <c r="U10" s="5"/>
      <c r="V10" s="116"/>
      <c r="W10" s="116"/>
      <c r="X10" s="116"/>
    </row>
    <row r="11" spans="5:24" ht="15.75" thickBot="1" x14ac:dyDescent="0.3">
      <c r="E11" s="21" t="s">
        <v>3</v>
      </c>
      <c r="F11" s="127" t="s">
        <v>12</v>
      </c>
      <c r="G11" s="128"/>
      <c r="H11" s="128"/>
      <c r="I11" s="128"/>
      <c r="J11" s="129"/>
      <c r="K11" s="130"/>
      <c r="L11" s="14" t="s">
        <v>4</v>
      </c>
      <c r="M11" s="15">
        <v>45994</v>
      </c>
      <c r="O11" s="5"/>
      <c r="P11" s="5"/>
      <c r="Q11" s="5"/>
      <c r="R11" s="5"/>
      <c r="S11" s="5"/>
      <c r="T11" s="5"/>
      <c r="U11" s="5"/>
      <c r="V11" s="50"/>
      <c r="W11" s="50"/>
      <c r="X11" s="50"/>
    </row>
    <row r="12" spans="5:24" x14ac:dyDescent="0.25">
      <c r="E12" s="22" t="s">
        <v>13</v>
      </c>
      <c r="F12" s="49" t="s">
        <v>29</v>
      </c>
      <c r="G12" s="49" t="s">
        <v>30</v>
      </c>
      <c r="H12" s="49" t="s">
        <v>16</v>
      </c>
      <c r="I12" s="49" t="s">
        <v>31</v>
      </c>
      <c r="J12" s="28" t="s">
        <v>55</v>
      </c>
      <c r="K12" s="28" t="s">
        <v>32</v>
      </c>
      <c r="L12" s="25" t="s">
        <v>33</v>
      </c>
      <c r="M12" s="19"/>
      <c r="O12" s="5"/>
      <c r="P12" s="5"/>
      <c r="Q12" s="5"/>
      <c r="R12" s="5"/>
      <c r="S12" s="5"/>
      <c r="T12" s="5"/>
      <c r="U12" s="5"/>
      <c r="V12" s="50"/>
      <c r="W12" s="50"/>
      <c r="X12" s="50"/>
    </row>
    <row r="13" spans="5:24" x14ac:dyDescent="0.25">
      <c r="E13" s="22" t="s">
        <v>28</v>
      </c>
      <c r="F13" s="49"/>
      <c r="G13" s="23"/>
      <c r="H13" s="23"/>
      <c r="I13" s="49"/>
      <c r="J13" s="49"/>
      <c r="K13" s="49"/>
      <c r="L13" s="46"/>
      <c r="M13" s="19"/>
      <c r="O13" s="5"/>
      <c r="P13" s="5"/>
      <c r="Q13" s="5"/>
      <c r="R13" s="5"/>
      <c r="S13" s="5"/>
      <c r="T13" s="5"/>
      <c r="U13" s="5"/>
      <c r="V13" s="50"/>
      <c r="W13" s="50"/>
      <c r="X13" s="50"/>
    </row>
    <row r="14" spans="5:24" x14ac:dyDescent="0.25">
      <c r="E14" s="22" t="s">
        <v>15</v>
      </c>
      <c r="F14" s="49">
        <v>99</v>
      </c>
      <c r="G14" s="35">
        <v>98</v>
      </c>
      <c r="H14" s="35">
        <v>98</v>
      </c>
      <c r="I14" s="49">
        <v>98.63</v>
      </c>
      <c r="J14" s="49">
        <v>97.16</v>
      </c>
      <c r="K14" s="35">
        <v>97</v>
      </c>
      <c r="L14" s="35">
        <v>99.99</v>
      </c>
      <c r="M14" s="19"/>
      <c r="O14" s="5"/>
      <c r="P14" s="5"/>
      <c r="Q14" s="5"/>
      <c r="R14" s="5"/>
      <c r="S14" s="5"/>
      <c r="T14" s="5"/>
      <c r="U14" s="5"/>
      <c r="V14" s="50"/>
      <c r="W14" s="50"/>
      <c r="X14" s="50"/>
    </row>
    <row r="15" spans="5:24" x14ac:dyDescent="0.25">
      <c r="E15" s="22" t="s">
        <v>14</v>
      </c>
      <c r="F15" s="49">
        <v>10.72</v>
      </c>
      <c r="G15" s="49">
        <v>10.51</v>
      </c>
      <c r="H15" s="49">
        <v>10.53</v>
      </c>
      <c r="I15" s="49">
        <v>10.89</v>
      </c>
      <c r="J15" s="49">
        <v>10.8</v>
      </c>
      <c r="K15" s="49">
        <v>12.5</v>
      </c>
      <c r="L15" s="49">
        <v>13.67</v>
      </c>
      <c r="M15" s="19"/>
      <c r="O15" s="5"/>
      <c r="P15" s="5"/>
      <c r="Q15" s="5"/>
      <c r="R15" s="5"/>
      <c r="S15" s="5"/>
      <c r="T15" s="5"/>
      <c r="U15" s="5"/>
      <c r="V15" s="50"/>
      <c r="W15" s="50"/>
      <c r="X15" s="50"/>
    </row>
    <row r="16" spans="5:24" x14ac:dyDescent="0.25">
      <c r="E16" s="22" t="s">
        <v>19</v>
      </c>
      <c r="F16" s="49">
        <v>20</v>
      </c>
      <c r="G16" s="49">
        <v>20</v>
      </c>
      <c r="H16" s="49">
        <v>20</v>
      </c>
      <c r="I16" s="49">
        <v>20</v>
      </c>
      <c r="J16" s="49">
        <v>20</v>
      </c>
      <c r="K16" s="49">
        <v>20</v>
      </c>
      <c r="L16" s="49">
        <v>20</v>
      </c>
      <c r="M16" s="19"/>
      <c r="O16" s="5"/>
      <c r="P16" s="5"/>
      <c r="Q16" s="5"/>
      <c r="R16" s="5"/>
      <c r="S16" s="5"/>
      <c r="T16" s="5"/>
      <c r="U16" s="5"/>
      <c r="V16" s="50"/>
      <c r="W16" s="50"/>
      <c r="X16" s="50"/>
    </row>
    <row r="17" spans="3:24" x14ac:dyDescent="0.25">
      <c r="E17" s="22" t="s">
        <v>20</v>
      </c>
      <c r="F17" s="49">
        <v>2.5</v>
      </c>
      <c r="G17" s="49">
        <v>2.5</v>
      </c>
      <c r="H17" s="49">
        <v>2.5</v>
      </c>
      <c r="I17" s="49">
        <v>2.5</v>
      </c>
      <c r="J17" s="49">
        <v>2.5</v>
      </c>
      <c r="K17" s="49">
        <v>1</v>
      </c>
      <c r="L17" s="49">
        <v>1</v>
      </c>
      <c r="M17" s="19"/>
      <c r="O17" s="5"/>
      <c r="P17" s="5"/>
      <c r="Q17" s="5"/>
      <c r="R17" s="5"/>
      <c r="S17" s="5"/>
      <c r="T17" s="5"/>
      <c r="U17" s="5"/>
      <c r="V17" s="50"/>
      <c r="W17" s="50"/>
      <c r="X17" s="50"/>
    </row>
    <row r="18" spans="3:24" x14ac:dyDescent="0.25">
      <c r="E18" s="22" t="s">
        <v>21</v>
      </c>
      <c r="F18" s="49">
        <v>100</v>
      </c>
      <c r="G18" s="49">
        <v>100</v>
      </c>
      <c r="H18" s="49">
        <v>100</v>
      </c>
      <c r="I18" s="49">
        <v>100</v>
      </c>
      <c r="J18" s="49">
        <v>100</v>
      </c>
      <c r="K18" s="49">
        <v>100</v>
      </c>
      <c r="L18" s="49">
        <v>100</v>
      </c>
      <c r="M18" s="19"/>
      <c r="O18" s="5"/>
      <c r="P18" s="5"/>
      <c r="Q18" s="5"/>
      <c r="R18" s="5"/>
      <c r="S18" s="5"/>
      <c r="T18" s="5"/>
      <c r="U18" s="5"/>
      <c r="V18" s="50"/>
      <c r="W18" s="50"/>
      <c r="X18" s="50"/>
    </row>
    <row r="19" spans="3:24" x14ac:dyDescent="0.25">
      <c r="E19" s="16"/>
      <c r="F19" s="20"/>
      <c r="G19" s="11"/>
      <c r="H19" s="11"/>
      <c r="I19" s="11"/>
      <c r="J19" s="11"/>
      <c r="K19" s="11"/>
      <c r="L19" s="11"/>
      <c r="M19" s="29"/>
      <c r="O19" s="5"/>
      <c r="P19" s="5"/>
      <c r="Q19" s="5"/>
      <c r="R19" s="5"/>
      <c r="S19" s="5"/>
      <c r="T19" s="5"/>
      <c r="U19" s="5"/>
      <c r="V19" s="50"/>
      <c r="W19" s="50"/>
      <c r="X19" s="50"/>
    </row>
    <row r="20" spans="3:24" x14ac:dyDescent="0.25">
      <c r="E20" s="16"/>
      <c r="F20" s="17"/>
      <c r="G20" s="18"/>
      <c r="H20" s="18"/>
      <c r="I20" s="18"/>
      <c r="J20" s="18"/>
      <c r="K20" s="18"/>
      <c r="L20" s="11"/>
      <c r="M20" s="29"/>
      <c r="O20" s="5"/>
      <c r="P20" s="5"/>
      <c r="Q20" s="5"/>
      <c r="R20" s="5"/>
      <c r="S20" s="5"/>
      <c r="T20" s="5"/>
      <c r="U20" s="5"/>
      <c r="V20" s="50"/>
      <c r="W20" s="50"/>
      <c r="X20" s="50"/>
    </row>
    <row r="21" spans="3:24" ht="31.5" customHeight="1" x14ac:dyDescent="0.25">
      <c r="E21" s="22" t="str">
        <f>F12</f>
        <v>TABA</v>
      </c>
      <c r="F21" s="24" t="s">
        <v>43</v>
      </c>
      <c r="G21" s="24" t="s">
        <v>17</v>
      </c>
      <c r="H21" s="24" t="s">
        <v>18</v>
      </c>
      <c r="I21" s="24" t="s">
        <v>5</v>
      </c>
      <c r="J21" s="18"/>
      <c r="K21" s="18"/>
      <c r="L21" s="11"/>
      <c r="M21" s="29"/>
      <c r="O21" s="5"/>
      <c r="P21" s="5"/>
      <c r="Q21" s="5"/>
      <c r="R21" s="5"/>
      <c r="S21" s="5"/>
      <c r="T21" s="5"/>
      <c r="U21" s="5"/>
      <c r="V21" s="50"/>
      <c r="W21" s="50"/>
      <c r="X21" s="50"/>
    </row>
    <row r="22" spans="3:24" ht="24.75" customHeight="1" x14ac:dyDescent="0.25">
      <c r="C22" s="7">
        <f>$F$15/$F$16*2.5/100*0.2/25*1/4*$F$14/100*100</f>
        <v>2.6532000000000001E-3</v>
      </c>
      <c r="D22" s="1">
        <f>C22*3.3/10</f>
        <v>8.7555599999999988E-4</v>
      </c>
      <c r="E22" s="49" t="s">
        <v>27</v>
      </c>
      <c r="F22" s="7">
        <f>$F$15/$F$16*2.5/100*0.2/25*1/4*$F$14/100*1000000</f>
        <v>26.532</v>
      </c>
      <c r="G22" s="49">
        <v>3749</v>
      </c>
      <c r="H22" s="49">
        <v>3749</v>
      </c>
      <c r="I22" s="45">
        <f>(G22+H22)/2</f>
        <v>3749</v>
      </c>
      <c r="J22" s="18"/>
      <c r="K22" s="18"/>
      <c r="L22" s="11"/>
      <c r="M22" s="29"/>
      <c r="O22" s="5"/>
      <c r="P22" s="5"/>
      <c r="Q22" s="5"/>
      <c r="R22" s="5"/>
      <c r="S22" s="5"/>
      <c r="T22" s="5"/>
      <c r="U22" s="5"/>
      <c r="V22" s="50"/>
      <c r="W22" s="50"/>
      <c r="X22" s="50"/>
    </row>
    <row r="23" spans="3:24" x14ac:dyDescent="0.25">
      <c r="C23" s="7">
        <f>$F$15/$F$16*$F$17/$F$18*0.5/25*1/4*$F$14/100*100</f>
        <v>6.633E-3</v>
      </c>
      <c r="E23" s="49" t="s">
        <v>22</v>
      </c>
      <c r="F23" s="7">
        <f>$F$15/$F$16*$F$17/$F$18*0.5/25*1/4*$F$14/100*1000000</f>
        <v>66.33</v>
      </c>
      <c r="G23" s="54">
        <v>9198</v>
      </c>
      <c r="H23" s="54">
        <v>9198</v>
      </c>
      <c r="I23" s="45">
        <f t="shared" ref="I23:I27" si="0">(G23+H23)/2</f>
        <v>9198</v>
      </c>
      <c r="J23" s="18"/>
      <c r="K23" s="18"/>
      <c r="L23" s="11"/>
      <c r="M23" s="29"/>
      <c r="O23" s="5"/>
      <c r="P23" s="5"/>
      <c r="Q23" s="5"/>
      <c r="R23" s="5"/>
      <c r="S23" s="5"/>
      <c r="T23" s="5"/>
      <c r="U23" s="5"/>
      <c r="V23" s="50"/>
      <c r="W23" s="50"/>
      <c r="X23" s="50"/>
    </row>
    <row r="24" spans="3:24" x14ac:dyDescent="0.25">
      <c r="C24" s="7">
        <f>$F$15/$F$16*$F$17/$F$18*0.75/25*1/4*$F$14/100*100</f>
        <v>9.9495E-3</v>
      </c>
      <c r="E24" s="49" t="s">
        <v>23</v>
      </c>
      <c r="F24" s="7">
        <f>$F$15/$F$16*$F$17/$F$18*0.75/25*1/4*$F$14/100*1000000</f>
        <v>99.49499999999999</v>
      </c>
      <c r="G24" s="54">
        <v>13660</v>
      </c>
      <c r="H24" s="54">
        <v>13660</v>
      </c>
      <c r="I24" s="45">
        <f t="shared" si="0"/>
        <v>13660</v>
      </c>
      <c r="J24" s="18"/>
      <c r="K24" s="18"/>
      <c r="L24" s="11"/>
      <c r="M24" s="29"/>
      <c r="O24" s="5"/>
      <c r="P24" s="5"/>
      <c r="Q24" s="5"/>
      <c r="R24" s="5"/>
      <c r="S24" s="5"/>
      <c r="T24" s="5"/>
      <c r="U24" s="5"/>
      <c r="V24" s="50"/>
      <c r="W24" s="50"/>
      <c r="X24" s="50"/>
    </row>
    <row r="25" spans="3:24" x14ac:dyDescent="0.25">
      <c r="C25" s="7">
        <f>$F$15/$F$16*$F$17/$F$18*1/25*1/4*$F$14/100*100</f>
        <v>1.3266E-2</v>
      </c>
      <c r="E25" s="49" t="s">
        <v>24</v>
      </c>
      <c r="F25" s="7">
        <f>$F$15/$F$16*$F$17/$F$18*1/25*1/4*$F$14/100*1000000</f>
        <v>132.66</v>
      </c>
      <c r="G25" s="54">
        <v>17046</v>
      </c>
      <c r="H25" s="54">
        <v>17046</v>
      </c>
      <c r="I25" s="45">
        <f t="shared" si="0"/>
        <v>17046</v>
      </c>
      <c r="J25" s="18"/>
      <c r="K25" s="18"/>
      <c r="L25" s="11"/>
      <c r="M25" s="29"/>
      <c r="O25" s="5"/>
      <c r="P25" s="5"/>
      <c r="Q25" s="5"/>
      <c r="R25" s="5"/>
      <c r="S25" s="5"/>
      <c r="T25" s="5"/>
      <c r="U25" s="5"/>
      <c r="V25" s="50"/>
      <c r="W25" s="50"/>
      <c r="X25" s="50"/>
    </row>
    <row r="26" spans="3:24" x14ac:dyDescent="0.25">
      <c r="C26" s="7">
        <f>$F$15/$F$16*$F$17/$F$18*1.25/25*1/4*$F$14/100*100</f>
        <v>1.65825E-2</v>
      </c>
      <c r="E26" s="49" t="s">
        <v>25</v>
      </c>
      <c r="F26" s="7">
        <f>$F$15/$F$16*$F$17/$F$18*1.25/25*1/4*$F$14/100*1000000</f>
        <v>165.82500000000002</v>
      </c>
      <c r="G26" s="54">
        <v>21924</v>
      </c>
      <c r="H26" s="54">
        <v>21924</v>
      </c>
      <c r="I26" s="45">
        <f t="shared" si="0"/>
        <v>21924</v>
      </c>
      <c r="J26" s="18"/>
      <c r="K26" s="18"/>
      <c r="L26" s="11"/>
      <c r="M26" s="29"/>
      <c r="O26" s="5"/>
      <c r="P26" s="5"/>
      <c r="Q26" s="5"/>
      <c r="R26" s="5"/>
      <c r="S26" s="5"/>
      <c r="T26" s="5"/>
      <c r="U26" s="5"/>
      <c r="V26" s="50"/>
      <c r="W26" s="50"/>
      <c r="X26" s="50"/>
    </row>
    <row r="27" spans="3:24" x14ac:dyDescent="0.25">
      <c r="C27" s="7">
        <f>$F$15/$F$16*$F$17/$F$18*1.5/25*1/4*$F$14/100*100</f>
        <v>1.9899E-2</v>
      </c>
      <c r="E27" s="49" t="s">
        <v>26</v>
      </c>
      <c r="F27" s="7">
        <f>$F$15/$F$16*$F$17/$F$18*1.5/25*1/4*$F$14/100*1000000</f>
        <v>198.98999999999998</v>
      </c>
      <c r="G27" s="54">
        <v>26233</v>
      </c>
      <c r="H27" s="54">
        <v>26233</v>
      </c>
      <c r="I27" s="45">
        <f t="shared" si="0"/>
        <v>26233</v>
      </c>
      <c r="J27" s="18"/>
      <c r="K27" s="18"/>
      <c r="L27" s="11"/>
      <c r="M27" s="29"/>
      <c r="O27" s="5"/>
      <c r="P27" s="5"/>
      <c r="Q27" s="5"/>
      <c r="R27" s="5"/>
      <c r="S27" s="5"/>
      <c r="T27" s="5"/>
      <c r="U27" s="5"/>
      <c r="V27" s="50"/>
      <c r="W27" s="50"/>
      <c r="X27" s="50"/>
    </row>
    <row r="28" spans="3:24" x14ac:dyDescent="0.25">
      <c r="E28" s="131" t="s">
        <v>54</v>
      </c>
      <c r="F28" s="131"/>
      <c r="G28" s="131"/>
      <c r="H28" s="131"/>
      <c r="I28" s="36">
        <f>CORREL(F22:F27,I22:I27)</f>
        <v>0.99929747677731473</v>
      </c>
      <c r="J28" s="30"/>
      <c r="K28" s="30"/>
      <c r="L28" s="30"/>
      <c r="M28" s="30"/>
      <c r="N28" s="30"/>
      <c r="O28" s="30"/>
      <c r="P28" s="116"/>
      <c r="Q28" s="116"/>
      <c r="R28" s="116"/>
      <c r="S28" s="116"/>
      <c r="T28" s="116"/>
      <c r="U28" s="116"/>
      <c r="V28" s="1"/>
      <c r="W28" s="5"/>
      <c r="X28" s="2"/>
    </row>
    <row r="29" spans="3:24" x14ac:dyDescent="0.25">
      <c r="E29" s="131" t="s">
        <v>0</v>
      </c>
      <c r="F29" s="131"/>
      <c r="G29" s="131"/>
      <c r="H29" s="131"/>
      <c r="I29" s="36">
        <f>I28*I28</f>
        <v>0.99859544709350789</v>
      </c>
      <c r="J29" s="26"/>
      <c r="K29" s="11"/>
      <c r="L29" s="26"/>
      <c r="M29" s="11"/>
      <c r="N29" s="26"/>
      <c r="O29" s="11"/>
      <c r="P29" s="116"/>
      <c r="Q29" s="116"/>
      <c r="R29" s="116"/>
      <c r="S29" s="116"/>
      <c r="T29" s="116"/>
      <c r="U29" s="116"/>
      <c r="V29" s="3"/>
      <c r="W29" s="5"/>
      <c r="X29" s="2"/>
    </row>
    <row r="30" spans="3:24" x14ac:dyDescent="0.25">
      <c r="E30" s="131" t="s">
        <v>1</v>
      </c>
      <c r="F30" s="131"/>
      <c r="G30" s="131"/>
      <c r="H30" s="131"/>
      <c r="I30" s="37">
        <f>SLOPE(I22:I27,F22:F27)</f>
        <v>129.01895579872601</v>
      </c>
      <c r="J30" s="26"/>
      <c r="K30" s="11"/>
      <c r="L30" s="26"/>
      <c r="M30" s="11"/>
      <c r="N30" s="26"/>
      <c r="O30" s="11"/>
      <c r="P30" s="116"/>
      <c r="Q30" s="116"/>
      <c r="R30" s="116"/>
      <c r="S30" s="116"/>
      <c r="T30" s="116"/>
      <c r="U30" s="116"/>
      <c r="V30" s="3"/>
      <c r="W30" s="5"/>
      <c r="X30" s="2"/>
    </row>
    <row r="31" spans="3:24" x14ac:dyDescent="0.25">
      <c r="E31" s="131" t="s">
        <v>36</v>
      </c>
      <c r="F31" s="131"/>
      <c r="G31" s="131"/>
      <c r="H31" s="131"/>
      <c r="I31" s="38">
        <f>INTERCEPT(I22:I27,F22:F27)</f>
        <v>468.09928057553952</v>
      </c>
      <c r="J31" s="26"/>
      <c r="K31" s="11"/>
      <c r="L31" s="26"/>
      <c r="M31" s="11"/>
      <c r="N31" s="26"/>
      <c r="O31" s="11"/>
      <c r="V31" s="3"/>
      <c r="W31" s="5"/>
      <c r="X31" s="2"/>
    </row>
    <row r="32" spans="3:24" x14ac:dyDescent="0.25">
      <c r="E32" s="131" t="s">
        <v>37</v>
      </c>
      <c r="F32" s="131"/>
      <c r="G32" s="131"/>
      <c r="H32" s="131"/>
      <c r="I32" s="32">
        <f>I31/I25*100</f>
        <v>2.7460945710168927</v>
      </c>
      <c r="J32" s="26"/>
      <c r="K32" s="11"/>
      <c r="L32" s="26"/>
      <c r="M32" s="11"/>
      <c r="N32" s="26"/>
      <c r="O32" s="11"/>
      <c r="V32" s="3"/>
      <c r="W32" s="5"/>
      <c r="X32" s="2"/>
    </row>
    <row r="33" spans="2:18" x14ac:dyDescent="0.25">
      <c r="J33" s="26"/>
      <c r="K33" s="11"/>
      <c r="L33" s="26"/>
      <c r="M33" s="11"/>
      <c r="N33" s="26"/>
      <c r="O33" s="11"/>
    </row>
    <row r="34" spans="2:18" x14ac:dyDescent="0.25">
      <c r="E34" s="22" t="str">
        <f>G12</f>
        <v>4,4-DABA</v>
      </c>
      <c r="F34" s="24" t="s">
        <v>43</v>
      </c>
      <c r="G34" s="24" t="s">
        <v>17</v>
      </c>
      <c r="H34" s="24" t="s">
        <v>18</v>
      </c>
      <c r="I34" s="24" t="s">
        <v>5</v>
      </c>
      <c r="J34" s="26"/>
      <c r="K34" s="11"/>
      <c r="L34" s="26"/>
      <c r="M34" s="11"/>
      <c r="N34" s="26"/>
      <c r="O34" s="11"/>
    </row>
    <row r="35" spans="2:18" x14ac:dyDescent="0.25">
      <c r="C35" s="7">
        <f>$G$15/$G$16*2.5/100*0.2/25*1/4*$G$14/100*100</f>
        <v>2.5749500000000003E-3</v>
      </c>
      <c r="E35" s="49" t="s">
        <v>27</v>
      </c>
      <c r="F35" s="7">
        <f>$G$15/$G$16*2.5/100*0.2/25*1/4*$G$14/100*1000000</f>
        <v>25.749500000000005</v>
      </c>
      <c r="G35" s="54">
        <v>5588</v>
      </c>
      <c r="H35" s="54">
        <v>5588</v>
      </c>
      <c r="I35" s="45">
        <f>(G35+H35)/2</f>
        <v>5588</v>
      </c>
      <c r="J35" s="26"/>
      <c r="K35" s="11"/>
      <c r="L35" s="26"/>
      <c r="M35" s="11"/>
      <c r="N35" s="26"/>
      <c r="O35" s="11"/>
    </row>
    <row r="36" spans="2:18" x14ac:dyDescent="0.25">
      <c r="C36" s="7">
        <f>$G$15/$G$16*$G$17/$G$18*0.5/25*1/4*$G$14/100*100</f>
        <v>6.4373750000000004E-3</v>
      </c>
      <c r="E36" s="49" t="s">
        <v>22</v>
      </c>
      <c r="F36" s="7">
        <f>$G$15/$G$16*$G$17/$G$18*0.5/25*1/4*$G$14/100*1000000</f>
        <v>64.373750000000001</v>
      </c>
      <c r="G36" s="54">
        <v>13517</v>
      </c>
      <c r="H36" s="54">
        <v>13517</v>
      </c>
      <c r="I36" s="45">
        <f t="shared" ref="I36:I40" si="1">(G36+H36)/2</f>
        <v>13517</v>
      </c>
      <c r="J36" s="26"/>
      <c r="K36" s="26"/>
      <c r="L36" s="26"/>
      <c r="M36" s="26"/>
      <c r="N36" s="26"/>
      <c r="O36" s="26"/>
      <c r="P36" s="116"/>
      <c r="Q36" s="116"/>
      <c r="R36" s="116"/>
    </row>
    <row r="37" spans="2:18" x14ac:dyDescent="0.25">
      <c r="C37" s="7">
        <f>$G$15/$G$16*$G$17/$G$18*0.75/25*1/4*$G$14/100*100</f>
        <v>9.6560625000000015E-3</v>
      </c>
      <c r="E37" s="49" t="s">
        <v>23</v>
      </c>
      <c r="F37" s="7">
        <f>$G$15/$G$16*$G$17/$G$18*0.75/25*1/4*$G$14/100*1000000</f>
        <v>96.560625000000016</v>
      </c>
      <c r="G37" s="54">
        <v>20142</v>
      </c>
      <c r="H37" s="54">
        <v>20142</v>
      </c>
      <c r="I37" s="45">
        <f t="shared" si="1"/>
        <v>20142</v>
      </c>
      <c r="J37" s="26"/>
      <c r="K37" s="26"/>
      <c r="L37" s="26"/>
      <c r="M37" s="26"/>
      <c r="N37" s="26"/>
      <c r="O37" s="26"/>
      <c r="P37" s="116"/>
      <c r="Q37" s="116"/>
      <c r="R37" s="116"/>
    </row>
    <row r="38" spans="2:18" x14ac:dyDescent="0.25">
      <c r="C38" s="7">
        <f>$G$15/$G$16*$G$17/$G$18*1/25*1/4*$G$14/100*100</f>
        <v>1.2874750000000001E-2</v>
      </c>
      <c r="E38" s="49" t="s">
        <v>24</v>
      </c>
      <c r="F38" s="7">
        <f>$G$15/$G$16*$G$17/$G$18*1/25*1/4*$G$14/100*1000000</f>
        <v>128.7475</v>
      </c>
      <c r="G38" s="54">
        <v>25222</v>
      </c>
      <c r="H38" s="54">
        <v>25222</v>
      </c>
      <c r="I38" s="45">
        <f t="shared" si="1"/>
        <v>25222</v>
      </c>
      <c r="J38" s="26"/>
      <c r="K38" s="27"/>
      <c r="L38" s="26"/>
      <c r="M38" s="27"/>
      <c r="N38" s="26"/>
      <c r="O38" s="27"/>
      <c r="P38" s="132"/>
      <c r="Q38" s="116"/>
      <c r="R38" s="116"/>
    </row>
    <row r="39" spans="2:18" x14ac:dyDescent="0.25">
      <c r="C39" s="7">
        <f>$G$15/$G$16*$G$17/$G$18*1.25/25*1/4*$G$14/100*100</f>
        <v>1.6093437499999998E-2</v>
      </c>
      <c r="E39" s="49" t="s">
        <v>25</v>
      </c>
      <c r="F39" s="7">
        <f>$G$15/$G$16*$G$17/$G$18*1.25/25*1/4*$G$14/100*1000000</f>
        <v>160.93437499999999</v>
      </c>
      <c r="G39" s="54">
        <v>32404</v>
      </c>
      <c r="H39" s="54">
        <v>32404</v>
      </c>
      <c r="I39" s="45">
        <f t="shared" si="1"/>
        <v>32404</v>
      </c>
      <c r="J39" s="26"/>
      <c r="K39" s="11"/>
      <c r="L39" s="26"/>
      <c r="M39" s="11"/>
      <c r="N39" s="26"/>
      <c r="O39" s="11"/>
      <c r="P39" s="132"/>
      <c r="Q39" s="116"/>
      <c r="R39" s="116"/>
    </row>
    <row r="40" spans="2:18" x14ac:dyDescent="0.25">
      <c r="C40" s="7">
        <f>$G$15/$G$16*$G$17/$G$18*1.5/25*1/4*$G$14/100*100</f>
        <v>1.9312125000000003E-2</v>
      </c>
      <c r="E40" s="49" t="s">
        <v>26</v>
      </c>
      <c r="F40" s="7">
        <f>$G$15/$G$16*$G$17/$G$18*1.5/25*1/4*$G$14/100*1000000</f>
        <v>193.12125000000003</v>
      </c>
      <c r="G40" s="54">
        <v>38728</v>
      </c>
      <c r="H40" s="54">
        <v>38728</v>
      </c>
      <c r="I40" s="45">
        <f t="shared" si="1"/>
        <v>38728</v>
      </c>
      <c r="J40" s="11"/>
      <c r="K40" s="11"/>
      <c r="L40" s="11"/>
      <c r="M40" s="11"/>
      <c r="P40" s="3"/>
      <c r="Q40" s="5"/>
      <c r="R40" s="2"/>
    </row>
    <row r="41" spans="2:18" x14ac:dyDescent="0.25">
      <c r="E41" s="131" t="s">
        <v>38</v>
      </c>
      <c r="F41" s="131"/>
      <c r="G41" s="131"/>
      <c r="H41" s="131"/>
      <c r="I41" s="7">
        <f>CORREL(F35:F40,I35:I40)</f>
        <v>0.99940039655730473</v>
      </c>
      <c r="J41" s="11"/>
      <c r="K41" s="11"/>
      <c r="L41" s="11"/>
      <c r="M41" s="11"/>
      <c r="P41" s="3"/>
      <c r="Q41" s="3"/>
      <c r="R41" s="2"/>
    </row>
    <row r="42" spans="2:18" x14ac:dyDescent="0.25">
      <c r="E42" s="131" t="s">
        <v>0</v>
      </c>
      <c r="F42" s="131"/>
      <c r="G42" s="131"/>
      <c r="H42" s="131"/>
      <c r="I42" s="7">
        <f>I41*I41</f>
        <v>0.9988011526388979</v>
      </c>
      <c r="J42" s="11"/>
      <c r="K42" s="11"/>
      <c r="L42" s="11"/>
      <c r="M42" s="11"/>
      <c r="P42" s="3"/>
      <c r="Q42" s="4"/>
      <c r="R42" s="2"/>
    </row>
    <row r="43" spans="2:18" x14ac:dyDescent="0.25">
      <c r="E43" s="131" t="s">
        <v>1</v>
      </c>
      <c r="F43" s="131"/>
      <c r="G43" s="131"/>
      <c r="H43" s="131"/>
      <c r="I43" s="34">
        <f>SLOPE(I35:I40,F35:F40)</f>
        <v>196.34036338765256</v>
      </c>
      <c r="J43" s="10"/>
      <c r="K43" s="10"/>
      <c r="L43" s="10"/>
      <c r="M43" s="10"/>
    </row>
    <row r="44" spans="2:18" x14ac:dyDescent="0.25">
      <c r="E44" s="131" t="s">
        <v>36</v>
      </c>
      <c r="F44" s="131"/>
      <c r="G44" s="131"/>
      <c r="H44" s="131"/>
      <c r="I44" s="33">
        <f>INTERCEPT(I35:I40,F35:F40)</f>
        <v>692.27985611510667</v>
      </c>
      <c r="J44" s="10"/>
      <c r="K44" s="10"/>
      <c r="L44" s="10"/>
      <c r="M44" s="10"/>
    </row>
    <row r="45" spans="2:18" x14ac:dyDescent="0.25">
      <c r="E45" s="131" t="s">
        <v>37</v>
      </c>
      <c r="F45" s="131"/>
      <c r="G45" s="131"/>
      <c r="H45" s="131"/>
      <c r="I45" s="32">
        <f>I44/I38*100</f>
        <v>2.7447460792764518</v>
      </c>
      <c r="J45" s="10"/>
      <c r="K45" s="10"/>
      <c r="L45" s="10"/>
      <c r="M45" s="10"/>
    </row>
    <row r="46" spans="2:18" ht="32.25" customHeight="1" x14ac:dyDescent="0.25">
      <c r="B46" s="43"/>
      <c r="E46" s="9"/>
      <c r="F46" s="10"/>
      <c r="G46" s="10"/>
      <c r="H46" s="10"/>
      <c r="I46" s="10"/>
      <c r="J46" s="10"/>
      <c r="K46" s="10"/>
      <c r="L46" s="10"/>
      <c r="M46" s="10"/>
    </row>
    <row r="47" spans="2:18" ht="33" customHeight="1" x14ac:dyDescent="0.25">
      <c r="B47" s="7"/>
      <c r="C47" s="7"/>
      <c r="E47" s="22" t="str">
        <f>H12</f>
        <v>DAPBI</v>
      </c>
      <c r="F47" s="24" t="s">
        <v>43</v>
      </c>
      <c r="G47" s="24" t="s">
        <v>17</v>
      </c>
      <c r="H47" s="24" t="s">
        <v>18</v>
      </c>
      <c r="I47" s="24" t="s">
        <v>5</v>
      </c>
      <c r="J47" s="10"/>
      <c r="K47" s="10"/>
      <c r="L47" s="10"/>
      <c r="M47" s="10"/>
    </row>
    <row r="48" spans="2:18" x14ac:dyDescent="0.25">
      <c r="B48" s="7"/>
      <c r="C48" s="7">
        <f>$H$15/$H$16*2.5/100*0.2/25*1/4*$H$14/100*100</f>
        <v>2.5798499999999999E-3</v>
      </c>
      <c r="E48" s="49" t="s">
        <v>27</v>
      </c>
      <c r="F48" s="7">
        <f>$H$15/$H$16*2.5/100*0.2/25*1/4*$H$14/100*1000000</f>
        <v>25.798499999999997</v>
      </c>
      <c r="G48" s="49">
        <v>5143</v>
      </c>
      <c r="H48" s="49">
        <v>5143</v>
      </c>
      <c r="I48" s="45">
        <f>(G48+H48)/2</f>
        <v>5143</v>
      </c>
      <c r="J48" s="10"/>
      <c r="K48" s="10"/>
      <c r="L48" s="10"/>
      <c r="M48" s="10"/>
    </row>
    <row r="49" spans="2:13" x14ac:dyDescent="0.25">
      <c r="B49" s="7"/>
      <c r="C49" s="7">
        <f>$H$15/$H$16*$H$17/$H$18*0.5/25*1/4*$H$14/100*100</f>
        <v>6.4496249999999988E-3</v>
      </c>
      <c r="E49" s="49" t="s">
        <v>22</v>
      </c>
      <c r="F49" s="7">
        <f>$H$15/$H$16*$H$17/$H$18*0.5/25*1/4*$H$14/100*1000000</f>
        <v>64.496249999999989</v>
      </c>
      <c r="G49" s="54">
        <v>12466</v>
      </c>
      <c r="H49" s="54">
        <v>12466</v>
      </c>
      <c r="I49" s="45">
        <f t="shared" ref="I49:I53" si="2">(G49+H49)/2</f>
        <v>12466</v>
      </c>
      <c r="J49" s="10"/>
      <c r="K49" s="10"/>
      <c r="L49" s="10"/>
      <c r="M49" s="10"/>
    </row>
    <row r="50" spans="2:13" ht="17.25" customHeight="1" x14ac:dyDescent="0.25">
      <c r="B50" s="7"/>
      <c r="C50" s="7">
        <f>$H$15/$H$16*$H$17/$H$18*0.75/25*1/4*$H$14/100*100</f>
        <v>9.674437499999999E-3</v>
      </c>
      <c r="E50" s="49" t="s">
        <v>23</v>
      </c>
      <c r="F50" s="7">
        <f>$H$15/$H$16*$H$17/$H$18*0.75/25*1/4*$H$14/100*1000000</f>
        <v>96.744374999999991</v>
      </c>
      <c r="G50" s="54">
        <v>18629</v>
      </c>
      <c r="H50" s="54">
        <v>18629</v>
      </c>
      <c r="I50" s="45">
        <f t="shared" si="2"/>
        <v>18629</v>
      </c>
      <c r="J50" s="10"/>
      <c r="K50" s="10"/>
      <c r="L50" s="10"/>
      <c r="M50" s="10"/>
    </row>
    <row r="51" spans="2:13" x14ac:dyDescent="0.25">
      <c r="B51" s="7"/>
      <c r="C51" s="7">
        <f>$H$15/$H$16*$H$17/$H$18*1/25*1/4*$H$14/100*100</f>
        <v>1.2899249999999998E-2</v>
      </c>
      <c r="E51" s="49" t="s">
        <v>24</v>
      </c>
      <c r="F51" s="7">
        <f>$H$15/$H$16*$H$17/$H$18*1/25*1/4*$H$14/100*1000000</f>
        <v>128.99249999999998</v>
      </c>
      <c r="G51" s="54">
        <v>23280</v>
      </c>
      <c r="H51" s="54">
        <v>23280</v>
      </c>
      <c r="I51" s="45">
        <f t="shared" si="2"/>
        <v>23280</v>
      </c>
      <c r="J51" s="10"/>
      <c r="K51" s="10"/>
      <c r="L51" s="10"/>
      <c r="M51" s="10"/>
    </row>
    <row r="52" spans="2:13" x14ac:dyDescent="0.25">
      <c r="B52" s="7"/>
      <c r="C52" s="7">
        <f>$H$15/$H$16*$H$17/$H$18*1.25/25*1/4*$H$14/100*100</f>
        <v>1.6124062499999998E-2</v>
      </c>
      <c r="E52" s="49" t="s">
        <v>25</v>
      </c>
      <c r="F52" s="7">
        <f>$H$15/$H$16*$H$17/$H$18*1.25/25*1/4*$H$14/100*1000000</f>
        <v>161.24062499999999</v>
      </c>
      <c r="G52" s="49">
        <v>30097</v>
      </c>
      <c r="H52" s="49">
        <v>30097</v>
      </c>
      <c r="I52" s="45">
        <f t="shared" si="2"/>
        <v>30097</v>
      </c>
      <c r="J52" s="10"/>
      <c r="K52" s="10"/>
      <c r="L52" s="10"/>
      <c r="M52" s="10"/>
    </row>
    <row r="53" spans="2:13" x14ac:dyDescent="0.25">
      <c r="C53" s="7">
        <f>$H$15/$H$16*$H$17/$H$18*1.5/25*1/4*$H$14/100*100</f>
        <v>1.9348874999999998E-2</v>
      </c>
      <c r="E53" s="49" t="s">
        <v>26</v>
      </c>
      <c r="F53" s="7">
        <f>$H$15/$H$16*$H$17/$H$18*1.5/25*1/4*$H$14/100*1000000</f>
        <v>193.48874999999998</v>
      </c>
      <c r="G53" s="54">
        <v>35891</v>
      </c>
      <c r="H53" s="54">
        <v>35891</v>
      </c>
      <c r="I53" s="45">
        <f t="shared" si="2"/>
        <v>35891</v>
      </c>
    </row>
    <row r="54" spans="2:13" x14ac:dyDescent="0.25">
      <c r="E54" s="131" t="s">
        <v>38</v>
      </c>
      <c r="F54" s="131"/>
      <c r="G54" s="131"/>
      <c r="H54" s="131"/>
      <c r="I54" s="7">
        <f>CORREL(F48:F53,I48:I53)</f>
        <v>0.99931531806102247</v>
      </c>
    </row>
    <row r="55" spans="2:13" x14ac:dyDescent="0.25">
      <c r="E55" s="131" t="s">
        <v>0</v>
      </c>
      <c r="F55" s="131"/>
      <c r="G55" s="131"/>
      <c r="H55" s="131"/>
      <c r="I55" s="7">
        <f>I54*I54</f>
        <v>0.9986311049114025</v>
      </c>
    </row>
    <row r="56" spans="2:13" x14ac:dyDescent="0.25">
      <c r="E56" s="131" t="s">
        <v>1</v>
      </c>
      <c r="F56" s="131"/>
      <c r="G56" s="131"/>
      <c r="H56" s="131"/>
      <c r="I56" s="8">
        <f>SLOPE(I48:I53,F48:F53)</f>
        <v>182.03657203314623</v>
      </c>
    </row>
    <row r="57" spans="2:13" x14ac:dyDescent="0.25">
      <c r="E57" s="131" t="s">
        <v>36</v>
      </c>
      <c r="F57" s="131"/>
      <c r="G57" s="131"/>
      <c r="H57" s="131"/>
      <c r="I57" s="32">
        <f>INTERCEPT(I48:I53,F48:F53)</f>
        <v>567.1611510791372</v>
      </c>
    </row>
    <row r="58" spans="2:13" x14ac:dyDescent="0.25">
      <c r="E58" s="131" t="s">
        <v>37</v>
      </c>
      <c r="F58" s="131"/>
      <c r="G58" s="131"/>
      <c r="H58" s="131"/>
      <c r="I58" s="44">
        <f>I57/I51*100</f>
        <v>2.4362592400306582</v>
      </c>
    </row>
    <row r="60" spans="2:13" ht="27.75" customHeight="1" x14ac:dyDescent="0.25">
      <c r="E60" s="22" t="str">
        <f>I12</f>
        <v>2-AP 4-AB</v>
      </c>
      <c r="F60" s="24" t="s">
        <v>43</v>
      </c>
      <c r="G60" s="24" t="s">
        <v>17</v>
      </c>
      <c r="H60" s="24" t="s">
        <v>18</v>
      </c>
      <c r="I60" s="24" t="s">
        <v>5</v>
      </c>
    </row>
    <row r="61" spans="2:13" x14ac:dyDescent="0.25">
      <c r="C61" s="7">
        <f>$I$15/$I$16*2.5/100*0.2/25*1/4*$I$14/100*100</f>
        <v>2.6852017500000004E-3</v>
      </c>
      <c r="D61" s="31"/>
      <c r="E61" s="49" t="s">
        <v>27</v>
      </c>
      <c r="F61" s="7">
        <f>$I$15/$I$16*2.5/100*0.2/25*1/4*$I$14/100*1000000</f>
        <v>26.852017500000006</v>
      </c>
      <c r="G61" s="54">
        <v>3545</v>
      </c>
      <c r="H61" s="54">
        <v>3545</v>
      </c>
      <c r="I61" s="45">
        <f>(G61+H61)/2</f>
        <v>3545</v>
      </c>
      <c r="J61" s="5"/>
      <c r="K61" s="5"/>
      <c r="L61" s="5"/>
      <c r="M61" s="5"/>
    </row>
    <row r="62" spans="2:13" x14ac:dyDescent="0.25">
      <c r="C62" s="7">
        <f>$I$15/$I$16*$I$17/$I$18*0.5/25*1/4*$I$14/100*100</f>
        <v>6.7130043750000005E-3</v>
      </c>
      <c r="D62" s="31"/>
      <c r="E62" s="49" t="s">
        <v>22</v>
      </c>
      <c r="F62" s="7">
        <f>$I$15/$I$16*$I$17/$I$18*0.5/25*1/4*$I$14/100*1000000</f>
        <v>67.130043749999999</v>
      </c>
      <c r="G62" s="54">
        <v>8555</v>
      </c>
      <c r="H62" s="54">
        <v>8555</v>
      </c>
      <c r="I62" s="45">
        <f t="shared" ref="I62:I66" si="3">(G62+H62)/2</f>
        <v>8555</v>
      </c>
      <c r="J62" s="5"/>
      <c r="K62" s="5"/>
      <c r="L62" s="5"/>
      <c r="M62" s="5"/>
    </row>
    <row r="63" spans="2:13" x14ac:dyDescent="0.25">
      <c r="C63" s="7">
        <f>$I$15/$I$16*$I$17/$I$18*0.75/25*1/4*$I$14/100*100</f>
        <v>1.00695065625E-2</v>
      </c>
      <c r="D63" s="31"/>
      <c r="E63" s="49" t="s">
        <v>23</v>
      </c>
      <c r="F63" s="7">
        <f>$I$15/$I$16*$I$17/$I$18*0.75/25*1/4*$I$14/100*1000000</f>
        <v>100.69506562500001</v>
      </c>
      <c r="G63" s="54">
        <v>12778</v>
      </c>
      <c r="H63" s="54">
        <v>12778</v>
      </c>
      <c r="I63" s="45">
        <f t="shared" si="3"/>
        <v>12778</v>
      </c>
      <c r="J63" s="5"/>
      <c r="K63" s="5"/>
      <c r="L63" s="5"/>
      <c r="M63" s="5"/>
    </row>
    <row r="64" spans="2:13" x14ac:dyDescent="0.25">
      <c r="C64" s="7">
        <f>$I$15/$I$16*$I$17/$I$18*1/25*1/4*$I$14/100*100</f>
        <v>1.3426008750000001E-2</v>
      </c>
      <c r="D64" s="31"/>
      <c r="E64" s="49" t="s">
        <v>24</v>
      </c>
      <c r="F64" s="7">
        <f>$I$15/$I$16*$I$17/$I$18*1/25*1/4*$I$14/100*1000000</f>
        <v>134.2600875</v>
      </c>
      <c r="G64" s="54">
        <v>15983</v>
      </c>
      <c r="H64" s="54">
        <v>15983</v>
      </c>
      <c r="I64" s="45">
        <f t="shared" si="3"/>
        <v>15983</v>
      </c>
    </row>
    <row r="65" spans="3:13" x14ac:dyDescent="0.25">
      <c r="C65" s="7">
        <f>$I$15/$I$16*$I$17/$I$18*1.25/25*1/4*$I$14/100*100</f>
        <v>1.6782510937500002E-2</v>
      </c>
      <c r="D65" s="31"/>
      <c r="E65" s="49" t="s">
        <v>25</v>
      </c>
      <c r="F65" s="7">
        <f>$I$15/$I$16*$I$17/$I$18*1.25/25*1/4*$I$14/100*1000000</f>
        <v>167.82510937500001</v>
      </c>
      <c r="G65" s="54">
        <v>20537</v>
      </c>
      <c r="H65" s="54">
        <v>20537</v>
      </c>
      <c r="I65" s="45">
        <f t="shared" si="3"/>
        <v>20537</v>
      </c>
      <c r="J65" s="5"/>
      <c r="K65" s="5"/>
      <c r="L65" s="5"/>
      <c r="M65" s="5"/>
    </row>
    <row r="66" spans="3:13" x14ac:dyDescent="0.25">
      <c r="C66" s="7">
        <f>$I$15/$I$16*$I$17/$I$18*1.5/25*1/4*$I$14/100*100</f>
        <v>2.0139013125000001E-2</v>
      </c>
      <c r="D66" s="31"/>
      <c r="E66" s="49" t="s">
        <v>26</v>
      </c>
      <c r="F66" s="7">
        <f>$I$15/$I$16*$I$17/$I$18*1.5/25*1/4*$I$14/100*1000000</f>
        <v>201.39013125000002</v>
      </c>
      <c r="G66" s="54">
        <v>24488</v>
      </c>
      <c r="H66" s="54">
        <v>24488</v>
      </c>
      <c r="I66" s="45">
        <f t="shared" si="3"/>
        <v>24488</v>
      </c>
      <c r="J66" s="5"/>
      <c r="K66" s="5"/>
      <c r="L66" s="5"/>
      <c r="M66" s="5"/>
    </row>
    <row r="67" spans="3:13" x14ac:dyDescent="0.25">
      <c r="D67" s="31"/>
      <c r="E67" s="131" t="s">
        <v>38</v>
      </c>
      <c r="F67" s="131"/>
      <c r="G67" s="131"/>
      <c r="H67" s="131"/>
      <c r="I67" s="7">
        <f>CORREL(F61:F66,I61:I66)</f>
        <v>0.99939852936753293</v>
      </c>
      <c r="J67" s="5"/>
      <c r="K67" s="5"/>
      <c r="L67" s="5"/>
      <c r="M67" s="5"/>
    </row>
    <row r="68" spans="3:13" x14ac:dyDescent="0.25">
      <c r="D68" s="31"/>
      <c r="E68" s="131" t="s">
        <v>0</v>
      </c>
      <c r="F68" s="131"/>
      <c r="G68" s="131"/>
      <c r="H68" s="131"/>
      <c r="I68" s="7">
        <f>I67*I67</f>
        <v>0.99879742050198761</v>
      </c>
    </row>
    <row r="69" spans="3:13" x14ac:dyDescent="0.25">
      <c r="D69" s="31"/>
      <c r="E69" s="131" t="s">
        <v>1</v>
      </c>
      <c r="F69" s="131"/>
      <c r="G69" s="131"/>
      <c r="H69" s="131"/>
      <c r="I69" s="8">
        <f>SLOPE(I61:I66,F61:F66)</f>
        <v>119.09698199043395</v>
      </c>
      <c r="J69" s="5"/>
      <c r="K69" s="5"/>
      <c r="L69" s="5"/>
      <c r="M69" s="5"/>
    </row>
    <row r="70" spans="3:13" x14ac:dyDescent="0.25">
      <c r="D70" s="31"/>
      <c r="E70" s="131" t="s">
        <v>36</v>
      </c>
      <c r="F70" s="131"/>
      <c r="G70" s="131"/>
      <c r="H70" s="131"/>
      <c r="I70" s="32">
        <f>INTERCEPT(I61:I66,F61:F66)</f>
        <v>456.35827338129275</v>
      </c>
      <c r="J70" s="5"/>
      <c r="K70" s="5"/>
      <c r="L70" s="5"/>
      <c r="M70" s="5"/>
    </row>
    <row r="71" spans="3:13" x14ac:dyDescent="0.25">
      <c r="D71" s="31"/>
      <c r="E71" s="131" t="s">
        <v>37</v>
      </c>
      <c r="F71" s="131"/>
      <c r="G71" s="131"/>
      <c r="H71" s="131"/>
      <c r="I71" s="44">
        <f>I70/I64*100</f>
        <v>2.8552729361277152</v>
      </c>
      <c r="J71" s="5"/>
      <c r="K71" s="5"/>
      <c r="L71" s="5"/>
      <c r="M71" s="5"/>
    </row>
    <row r="74" spans="3:13" x14ac:dyDescent="0.25">
      <c r="D74" s="50"/>
      <c r="E74" s="55" t="str">
        <f>J12</f>
        <v>2, 4-DAPBA</v>
      </c>
      <c r="F74" s="56" t="s">
        <v>43</v>
      </c>
      <c r="G74" s="56" t="s">
        <v>17</v>
      </c>
      <c r="H74" s="56" t="s">
        <v>18</v>
      </c>
      <c r="I74" s="56" t="s">
        <v>5</v>
      </c>
      <c r="J74" s="5"/>
      <c r="K74" s="5"/>
      <c r="L74" s="5"/>
      <c r="M74" s="5"/>
    </row>
    <row r="75" spans="3:13" x14ac:dyDescent="0.25">
      <c r="C75" s="7">
        <f>$J$15/$J$16*2.5/100*0.2/25*1/4*$J$14/100*100</f>
        <v>2.6233200000000006E-3</v>
      </c>
      <c r="D75" s="50"/>
      <c r="E75" s="57" t="s">
        <v>27</v>
      </c>
      <c r="F75" s="58">
        <f>$J$15/$J$16*2.5/100*0.2/25*1/4*$J$14/100*1000000</f>
        <v>26.233200000000004</v>
      </c>
      <c r="G75" s="57">
        <v>788</v>
      </c>
      <c r="H75" s="57">
        <v>788</v>
      </c>
      <c r="I75" s="59">
        <f>(G75+H75)/2</f>
        <v>788</v>
      </c>
      <c r="J75" s="5"/>
      <c r="K75" s="5"/>
      <c r="L75" s="5"/>
      <c r="M75" s="5"/>
    </row>
    <row r="76" spans="3:13" x14ac:dyDescent="0.25">
      <c r="C76" s="7">
        <f>$J$15/$J$16*G17/G18*0.5/25*1/4*$J$14/100*100</f>
        <v>6.5583000000000013E-3</v>
      </c>
      <c r="D76" s="50"/>
      <c r="E76" s="57" t="s">
        <v>22</v>
      </c>
      <c r="F76" s="58">
        <f>$J$15/$J$16*J17/J18*0.5/25*1/4*$J$14/100*1000000</f>
        <v>65.583000000000013</v>
      </c>
      <c r="G76" s="57">
        <v>1904</v>
      </c>
      <c r="H76" s="57">
        <v>1904</v>
      </c>
      <c r="I76" s="59">
        <f>(G76+H76)/2</f>
        <v>1904</v>
      </c>
      <c r="J76" s="5"/>
      <c r="K76" s="5"/>
      <c r="L76" s="5"/>
      <c r="M76" s="5"/>
    </row>
    <row r="77" spans="3:13" x14ac:dyDescent="0.25">
      <c r="C77" s="7">
        <f>$J$15/$J$16*$J$17/$J$18*0.75/25*1/4*$J$14/100*100</f>
        <v>9.8374500000000011E-3</v>
      </c>
      <c r="D77" s="50"/>
      <c r="E77" s="57" t="s">
        <v>23</v>
      </c>
      <c r="F77" s="58">
        <f>$J$15/$J$16*$J$17/$J$18*0.75/25*1/4*$J$14/100*1000000</f>
        <v>98.374500000000012</v>
      </c>
      <c r="G77" s="57">
        <v>2847</v>
      </c>
      <c r="H77" s="57">
        <v>2847</v>
      </c>
      <c r="I77" s="59">
        <f>(G77+H77)/2</f>
        <v>2847</v>
      </c>
    </row>
    <row r="78" spans="3:13" x14ac:dyDescent="0.25">
      <c r="C78" s="7">
        <f>$J$15/$J$16*$J$17/$J$18*1/25*1/4*$J$14/100*100</f>
        <v>1.3116600000000003E-2</v>
      </c>
      <c r="D78" s="50"/>
      <c r="E78" s="57" t="s">
        <v>24</v>
      </c>
      <c r="F78" s="58">
        <f>$J$15/$J$16*$J$17/$J$18*1/25*1/4*$J$14/100*1000000</f>
        <v>131.16600000000003</v>
      </c>
      <c r="G78" s="57">
        <v>3558</v>
      </c>
      <c r="H78" s="57">
        <v>3558</v>
      </c>
      <c r="I78" s="59">
        <f>(G78+H78)/2</f>
        <v>3558</v>
      </c>
      <c r="J78" s="5"/>
      <c r="K78" s="5"/>
      <c r="L78" s="5"/>
      <c r="M78" s="5"/>
    </row>
    <row r="79" spans="3:13" x14ac:dyDescent="0.25">
      <c r="C79" s="7">
        <f>$J$15/$J$16*$J$17/$J$18*1.25/25*1/4*$J$14/100*100</f>
        <v>1.6395750000000001E-2</v>
      </c>
      <c r="D79" s="50"/>
      <c r="E79" s="57" t="s">
        <v>25</v>
      </c>
      <c r="F79" s="58">
        <f>$J$15/$J$16*$J$17/$J$18*1.25/25*1/4*$J$14/100*1000000</f>
        <v>163.95750000000001</v>
      </c>
      <c r="G79" s="57">
        <v>4553</v>
      </c>
      <c r="H79" s="57">
        <v>4553</v>
      </c>
      <c r="I79" s="59">
        <f>(G79+H79)/2</f>
        <v>4553</v>
      </c>
      <c r="J79" s="5"/>
      <c r="K79" s="5"/>
      <c r="L79" s="5"/>
      <c r="M79" s="5"/>
    </row>
    <row r="80" spans="3:13" x14ac:dyDescent="0.25">
      <c r="C80" s="7">
        <f>$J$15/$J$16*$J$17/$J$18*1.5/25*1/4*$J$14/100*100</f>
        <v>1.9674900000000002E-2</v>
      </c>
      <c r="D80" s="50"/>
      <c r="E80" s="57" t="s">
        <v>26</v>
      </c>
      <c r="F80" s="58">
        <f>$J$15/$J$16*$J$17/$J$18*1.5/25*1/4*$J$14/100*1000000</f>
        <v>196.74900000000002</v>
      </c>
      <c r="G80" s="57">
        <v>5442</v>
      </c>
      <c r="H80" s="57">
        <v>5442</v>
      </c>
      <c r="I80" s="59">
        <f t="shared" ref="I80" si="4">(G80+H80)/2</f>
        <v>5442</v>
      </c>
      <c r="J80" s="5"/>
      <c r="K80" s="5"/>
      <c r="L80" s="5"/>
      <c r="M80" s="5"/>
    </row>
    <row r="81" spans="3:13" x14ac:dyDescent="0.25">
      <c r="D81" s="50"/>
      <c r="E81" s="133" t="s">
        <v>38</v>
      </c>
      <c r="F81" s="133"/>
      <c r="G81" s="133"/>
      <c r="H81" s="133"/>
      <c r="I81" s="58">
        <f>CORREL(F75:F80,I75:I80)</f>
        <v>0.99940804962278662</v>
      </c>
    </row>
    <row r="82" spans="3:13" x14ac:dyDescent="0.25">
      <c r="D82" s="50"/>
      <c r="E82" s="133" t="s">
        <v>0</v>
      </c>
      <c r="F82" s="133"/>
      <c r="G82" s="133"/>
      <c r="H82" s="133"/>
      <c r="I82" s="58">
        <f>I81*I81</f>
        <v>0.99881644965082228</v>
      </c>
      <c r="J82" s="5"/>
      <c r="K82" s="5"/>
      <c r="L82" s="5"/>
      <c r="M82" s="5"/>
    </row>
    <row r="83" spans="3:13" x14ac:dyDescent="0.25">
      <c r="D83" s="50"/>
      <c r="E83" s="133" t="s">
        <v>1</v>
      </c>
      <c r="F83" s="133"/>
      <c r="G83" s="133"/>
      <c r="H83" s="133"/>
      <c r="I83" s="60">
        <f>SLOPE(I75:I80,F75:F80)</f>
        <v>27.05583577600661</v>
      </c>
      <c r="J83" s="5"/>
      <c r="K83" s="5"/>
      <c r="L83" s="5"/>
      <c r="M83" s="5"/>
    </row>
    <row r="84" spans="3:13" x14ac:dyDescent="0.25">
      <c r="D84" s="50"/>
      <c r="E84" s="133" t="s">
        <v>36</v>
      </c>
      <c r="F84" s="133"/>
      <c r="G84" s="133"/>
      <c r="H84" s="133"/>
      <c r="I84" s="61">
        <f>INTERCEPT(I75:I80,F75:F80)</f>
        <v>106.36834532374087</v>
      </c>
      <c r="J84" s="5"/>
      <c r="K84" s="5"/>
      <c r="L84" s="5"/>
      <c r="M84" s="5"/>
    </row>
    <row r="85" spans="3:13" x14ac:dyDescent="0.25">
      <c r="E85" s="133" t="s">
        <v>37</v>
      </c>
      <c r="F85" s="133"/>
      <c r="G85" s="133"/>
      <c r="H85" s="133"/>
      <c r="I85" s="62">
        <f>I84/I78*100</f>
        <v>2.9895543935846223</v>
      </c>
    </row>
    <row r="87" spans="3:13" x14ac:dyDescent="0.25">
      <c r="E87" s="22" t="str">
        <f>K12</f>
        <v>PABI</v>
      </c>
      <c r="F87" s="24" t="s">
        <v>43</v>
      </c>
      <c r="G87" s="24" t="s">
        <v>17</v>
      </c>
      <c r="H87" s="24" t="s">
        <v>18</v>
      </c>
      <c r="I87" s="24" t="s">
        <v>5</v>
      </c>
    </row>
    <row r="88" spans="3:13" x14ac:dyDescent="0.25">
      <c r="C88" s="7">
        <f>$K$15/$K$16*1/100*0.2/25*1/4*$K$14/100*100</f>
        <v>1.2125000000000003E-3</v>
      </c>
      <c r="D88" s="53">
        <f>C88*3.3/10</f>
        <v>4.0012500000000004E-4</v>
      </c>
      <c r="E88" s="49" t="s">
        <v>27</v>
      </c>
      <c r="F88" s="7">
        <f>$K$15/$K$16*1/100*0.2/25*1/4*$K$14/100*1000000</f>
        <v>12.125000000000004</v>
      </c>
      <c r="G88" s="54">
        <v>1665</v>
      </c>
      <c r="H88" s="54">
        <v>1665</v>
      </c>
      <c r="I88" s="45">
        <f>(G88+H88)/2</f>
        <v>1665</v>
      </c>
      <c r="J88" s="5"/>
      <c r="K88" s="5"/>
      <c r="L88" s="5"/>
      <c r="M88" s="5"/>
    </row>
    <row r="89" spans="3:13" x14ac:dyDescent="0.25">
      <c r="C89" s="7">
        <f>$K$15/$K$16*$K$17/$K$18*0.5/25*1/4*$K$14/100*100</f>
        <v>3.0312500000000001E-3</v>
      </c>
      <c r="D89" s="50"/>
      <c r="E89" s="49" t="s">
        <v>22</v>
      </c>
      <c r="F89" s="7">
        <f>$K$15/$K$16*$K$17/$K$18*0.5/25*1/4*$K$14/100*1000000</f>
        <v>30.3125</v>
      </c>
      <c r="G89" s="54">
        <v>4200</v>
      </c>
      <c r="H89" s="54">
        <v>4200</v>
      </c>
      <c r="I89" s="45">
        <f t="shared" ref="I89:I93" si="5">(G89+H89)/2</f>
        <v>4200</v>
      </c>
      <c r="J89" s="5"/>
      <c r="K89" s="5"/>
      <c r="L89" s="5"/>
      <c r="M89" s="5"/>
    </row>
    <row r="90" spans="3:13" x14ac:dyDescent="0.25">
      <c r="C90" s="7">
        <f>$K$15/$K$16*$K$17/$K$18*0.75/25*1/4*$K$14/100*100</f>
        <v>4.5468750000000006E-3</v>
      </c>
      <c r="D90" s="50"/>
      <c r="E90" s="49" t="s">
        <v>23</v>
      </c>
      <c r="F90" s="7">
        <f>$K$15/$K$16*$K$17/$K$18*0.75/25*1/4*$K$14/100*1000000</f>
        <v>45.468750000000007</v>
      </c>
      <c r="G90" s="54">
        <v>6222</v>
      </c>
      <c r="H90" s="54">
        <v>6222</v>
      </c>
      <c r="I90" s="45">
        <f t="shared" si="5"/>
        <v>6222</v>
      </c>
      <c r="J90" s="5"/>
      <c r="K90" s="5"/>
      <c r="L90" s="5"/>
      <c r="M90" s="5"/>
    </row>
    <row r="91" spans="3:13" x14ac:dyDescent="0.25">
      <c r="C91" s="7">
        <f>$K$15/$K$16*$K$17/$K$18*1/25*1/4*$K$14/100*100</f>
        <v>6.0625000000000002E-3</v>
      </c>
      <c r="D91" s="50"/>
      <c r="E91" s="49" t="s">
        <v>24</v>
      </c>
      <c r="F91" s="7">
        <f>$K$15/$K$16*$K$17/$K$18*1/25*1/4*$K$14/100*1000000</f>
        <v>60.625</v>
      </c>
      <c r="G91" s="5">
        <v>7914</v>
      </c>
      <c r="H91" s="5">
        <v>7914</v>
      </c>
      <c r="I91" s="45">
        <f t="shared" si="5"/>
        <v>7914</v>
      </c>
    </row>
    <row r="92" spans="3:13" x14ac:dyDescent="0.25">
      <c r="C92" s="7">
        <f>$K$15/$K$16*$K$17/$K$18*1.25/25*1/4*$K$14/100*100</f>
        <v>7.5781249999999998E-3</v>
      </c>
      <c r="D92" s="50"/>
      <c r="E92" s="49" t="s">
        <v>25</v>
      </c>
      <c r="F92" s="7">
        <f>$K$15/$K$16*$K$17/$K$18*1.25/25*1/4*$K$14/100*1000000</f>
        <v>75.78125</v>
      </c>
      <c r="G92" s="54">
        <v>10476</v>
      </c>
      <c r="H92" s="54">
        <v>10476</v>
      </c>
      <c r="I92" s="45">
        <f t="shared" si="5"/>
        <v>10476</v>
      </c>
      <c r="J92" s="5"/>
      <c r="K92" s="5"/>
      <c r="L92" s="5"/>
      <c r="M92" s="5"/>
    </row>
    <row r="93" spans="3:13" x14ac:dyDescent="0.25">
      <c r="C93" s="7">
        <f>$K$15/$K$16*$K$17/$K$18*1.5/25*1/4*$K$14/100*100</f>
        <v>9.0937500000000011E-3</v>
      </c>
      <c r="D93" s="50"/>
      <c r="E93" s="49" t="s">
        <v>26</v>
      </c>
      <c r="F93" s="7">
        <f>$K$15/$K$16*$K$17/$K$18*1.5/25*1/4*$K$14/100*1000000</f>
        <v>90.937500000000014</v>
      </c>
      <c r="G93" s="54">
        <v>12636</v>
      </c>
      <c r="H93" s="54">
        <v>12636</v>
      </c>
      <c r="I93" s="45">
        <f t="shared" si="5"/>
        <v>12636</v>
      </c>
      <c r="J93" s="5"/>
      <c r="K93" s="5"/>
      <c r="L93" s="5"/>
      <c r="M93" s="5"/>
    </row>
    <row r="94" spans="3:13" x14ac:dyDescent="0.25">
      <c r="D94" s="50"/>
      <c r="E94" s="131" t="s">
        <v>38</v>
      </c>
      <c r="F94" s="131"/>
      <c r="G94" s="131"/>
      <c r="H94" s="131"/>
      <c r="I94" s="7">
        <f>CORREL(F88:F93,I88:I93)</f>
        <v>0.99883258390468754</v>
      </c>
      <c r="J94" s="5"/>
      <c r="K94" s="5"/>
      <c r="L94" s="5"/>
      <c r="M94" s="5"/>
    </row>
    <row r="95" spans="3:13" x14ac:dyDescent="0.25">
      <c r="D95" s="50"/>
      <c r="E95" s="131" t="s">
        <v>0</v>
      </c>
      <c r="F95" s="131"/>
      <c r="G95" s="131"/>
      <c r="H95" s="131"/>
      <c r="I95" s="7">
        <f>I94*I94</f>
        <v>0.99766653066971467</v>
      </c>
    </row>
    <row r="96" spans="3:13" x14ac:dyDescent="0.25">
      <c r="D96" s="50"/>
      <c r="E96" s="131" t="s">
        <v>1</v>
      </c>
      <c r="F96" s="131"/>
      <c r="G96" s="131"/>
      <c r="H96" s="131"/>
      <c r="I96" s="34">
        <f>SLOPE(I88:I93,F88:F93)</f>
        <v>138.09959207891418</v>
      </c>
      <c r="J96" s="5"/>
      <c r="K96" s="5"/>
      <c r="L96" s="5"/>
      <c r="M96" s="5"/>
    </row>
    <row r="97" spans="3:13" x14ac:dyDescent="0.25">
      <c r="D97" s="50"/>
      <c r="E97" s="131" t="s">
        <v>36</v>
      </c>
      <c r="F97" s="131"/>
      <c r="G97" s="131"/>
      <c r="H97" s="131"/>
      <c r="I97" s="32">
        <f>INTERCEPT(I88:I93,F88:F93)</f>
        <v>-70.482733812948936</v>
      </c>
      <c r="J97" s="5"/>
      <c r="K97" s="5"/>
      <c r="L97" s="5"/>
      <c r="M97" s="5"/>
    </row>
    <row r="98" spans="3:13" x14ac:dyDescent="0.25">
      <c r="D98" s="50"/>
      <c r="E98" s="131" t="s">
        <v>37</v>
      </c>
      <c r="F98" s="131"/>
      <c r="G98" s="131"/>
      <c r="H98" s="131"/>
      <c r="I98" s="44">
        <f>I97/I91*100</f>
        <v>-0.89060821092935227</v>
      </c>
      <c r="J98" s="5"/>
      <c r="K98" s="5"/>
      <c r="L98" s="5"/>
      <c r="M98" s="5"/>
    </row>
    <row r="99" spans="3:13" x14ac:dyDescent="0.25">
      <c r="D99" s="50"/>
      <c r="E99" s="5"/>
      <c r="F99" s="5"/>
      <c r="G99" s="5"/>
      <c r="H99" s="5"/>
      <c r="I99" s="5"/>
      <c r="J99" s="5"/>
      <c r="K99" s="5"/>
      <c r="L99" s="5"/>
      <c r="M99" s="5"/>
    </row>
    <row r="100" spans="3:13" ht="25.5" customHeight="1" x14ac:dyDescent="0.25">
      <c r="E100" s="22" t="str">
        <f>L12</f>
        <v>4-BIA</v>
      </c>
      <c r="F100" s="24" t="s">
        <v>43</v>
      </c>
      <c r="G100" s="24" t="s">
        <v>17</v>
      </c>
      <c r="H100" s="24" t="s">
        <v>18</v>
      </c>
      <c r="I100" s="24" t="s">
        <v>5</v>
      </c>
    </row>
    <row r="101" spans="3:13" x14ac:dyDescent="0.25">
      <c r="C101" s="7">
        <f>$L$15/$L$16*$L$17/$L$18*0.2/25*1/4*$L$14/100*100</f>
        <v>1.3668632999999999E-3</v>
      </c>
      <c r="E101" s="49" t="s">
        <v>27</v>
      </c>
      <c r="F101" s="7">
        <f>$L$15/$L$16*$L$17/$L$18*0.2/25*1/4*$L$14/100*1000000</f>
        <v>13.668633</v>
      </c>
      <c r="G101" s="54">
        <v>5627</v>
      </c>
      <c r="H101" s="54">
        <v>5627</v>
      </c>
      <c r="I101" s="45">
        <f>(G101+H101)/2</f>
        <v>5627</v>
      </c>
    </row>
    <row r="102" spans="3:13" x14ac:dyDescent="0.25">
      <c r="C102" s="7">
        <f>$L$15/$L$16*$L$17/$L$18*0.5/25*1/4*$L$14/100*100</f>
        <v>3.417158249999999E-3</v>
      </c>
      <c r="D102" s="50"/>
      <c r="E102" s="49" t="s">
        <v>22</v>
      </c>
      <c r="F102" s="7">
        <f>$L$15/$L$16*$L$17/$L$18*0.5/25*1/4*$L$14/100*1000000</f>
        <v>34.171582499999992</v>
      </c>
      <c r="G102" s="54">
        <v>12112</v>
      </c>
      <c r="H102" s="54">
        <v>12112</v>
      </c>
      <c r="I102" s="45">
        <f t="shared" ref="I102:I106" si="6">(G102+H102)/2</f>
        <v>12112</v>
      </c>
      <c r="J102" s="5"/>
      <c r="K102" s="5"/>
      <c r="L102" s="5"/>
      <c r="M102" s="5"/>
    </row>
    <row r="103" spans="3:13" x14ac:dyDescent="0.25">
      <c r="C103" s="7">
        <f>$L$15/$L$16*$L$17/$L$18*0.75/25*1/4*$L$14/100*100</f>
        <v>5.1257373749999998E-3</v>
      </c>
      <c r="D103" s="6"/>
      <c r="E103" s="49" t="s">
        <v>23</v>
      </c>
      <c r="F103" s="7">
        <f>$L$15/$L$16*$L$17/$L$18*0.75/25*1/4*$L$14/100*1000000</f>
        <v>51.257373749999999</v>
      </c>
      <c r="G103" s="54">
        <v>17044</v>
      </c>
      <c r="H103" s="54">
        <v>17044</v>
      </c>
      <c r="I103" s="45">
        <f t="shared" si="6"/>
        <v>17044</v>
      </c>
      <c r="J103" s="5"/>
      <c r="K103" s="5"/>
      <c r="L103" s="5"/>
      <c r="M103" s="5"/>
    </row>
    <row r="104" spans="3:13" x14ac:dyDescent="0.25">
      <c r="C104" s="7">
        <f>$L$15/$L$16*$L$17/$L$18*1/25*1/4*$L$14/100*100</f>
        <v>6.834316499999998E-3</v>
      </c>
      <c r="D104" s="50"/>
      <c r="E104" s="49" t="s">
        <v>24</v>
      </c>
      <c r="F104" s="7">
        <f>$L$15/$L$16*$L$17/$L$18*1/25*1/4*$L$14/100*1000000</f>
        <v>68.343164999999985</v>
      </c>
      <c r="G104" s="54">
        <v>22673</v>
      </c>
      <c r="H104" s="54">
        <v>22673</v>
      </c>
      <c r="I104" s="45">
        <f t="shared" si="6"/>
        <v>22673</v>
      </c>
      <c r="J104" s="5"/>
      <c r="K104" s="5"/>
      <c r="L104" s="5"/>
      <c r="M104" s="5"/>
    </row>
    <row r="105" spans="3:13" x14ac:dyDescent="0.25">
      <c r="C105" s="7">
        <f>$L$15/$L$16*$L$17/$L$18*1.25/25*1/4*$L$14/100*100</f>
        <v>8.5428956249999997E-3</v>
      </c>
      <c r="D105" s="50"/>
      <c r="E105" s="49" t="s">
        <v>25</v>
      </c>
      <c r="F105" s="7">
        <f>$L$15/$L$16*$L$17/$L$18*1.25/25*1/4*$L$14/100*1000000</f>
        <v>85.428956249999999</v>
      </c>
      <c r="G105" s="54">
        <v>29130</v>
      </c>
      <c r="H105" s="54">
        <v>29130</v>
      </c>
      <c r="I105" s="45">
        <f t="shared" si="6"/>
        <v>29130</v>
      </c>
    </row>
    <row r="106" spans="3:13" x14ac:dyDescent="0.25">
      <c r="C106" s="7">
        <f>$L$15/$L$16*$L$17/$L$18*1.5/25*1/4*$L$14/100*100</f>
        <v>1.025147475E-2</v>
      </c>
      <c r="D106" s="50"/>
      <c r="E106" s="49" t="s">
        <v>26</v>
      </c>
      <c r="F106" s="7">
        <f>$L$15/$L$16*$L$17/$L$18*1.5/25*1/4*$L$14/100*1000000</f>
        <v>102.5147475</v>
      </c>
      <c r="G106" s="49">
        <v>34871</v>
      </c>
      <c r="H106" s="49">
        <v>39717</v>
      </c>
      <c r="I106" s="45">
        <f t="shared" si="6"/>
        <v>37294</v>
      </c>
      <c r="J106" s="5"/>
      <c r="K106" s="5"/>
      <c r="L106" s="5"/>
      <c r="M106" s="5"/>
    </row>
    <row r="107" spans="3:13" x14ac:dyDescent="0.25">
      <c r="D107" s="50"/>
      <c r="E107" s="131" t="s">
        <v>38</v>
      </c>
      <c r="F107" s="131"/>
      <c r="G107" s="131"/>
      <c r="H107" s="131"/>
      <c r="I107" s="7">
        <f>CORREL(F101:F106,I101:I106)</f>
        <v>0.99575083242398743</v>
      </c>
      <c r="J107" s="5"/>
      <c r="K107" s="5"/>
      <c r="L107" s="5"/>
      <c r="M107" s="5"/>
    </row>
    <row r="108" spans="3:13" x14ac:dyDescent="0.25">
      <c r="D108" s="50"/>
      <c r="E108" s="131" t="s">
        <v>0</v>
      </c>
      <c r="F108" s="131"/>
      <c r="G108" s="131"/>
      <c r="H108" s="131"/>
      <c r="I108" s="7">
        <f>I107*I107</f>
        <v>0.9915197202730639</v>
      </c>
      <c r="J108" s="5"/>
      <c r="K108" s="5"/>
      <c r="L108" s="5"/>
      <c r="M108" s="5"/>
    </row>
    <row r="109" spans="3:13" x14ac:dyDescent="0.25">
      <c r="D109" s="50"/>
      <c r="E109" s="131" t="s">
        <v>1</v>
      </c>
      <c r="F109" s="131"/>
      <c r="G109" s="131"/>
      <c r="H109" s="131"/>
      <c r="I109" s="34">
        <f>SLOPE(I101:I106,F101:F106)</f>
        <v>348.99923394264562</v>
      </c>
    </row>
    <row r="110" spans="3:13" x14ac:dyDescent="0.25">
      <c r="D110" s="50"/>
      <c r="E110" s="131" t="s">
        <v>36</v>
      </c>
      <c r="F110" s="131"/>
      <c r="G110" s="131"/>
      <c r="H110" s="131"/>
      <c r="I110" s="32">
        <f>INTERCEPT(I101:I106,F101:F106)</f>
        <v>-24.817266187048517</v>
      </c>
      <c r="J110" s="5"/>
      <c r="K110" s="5"/>
      <c r="L110" s="5"/>
      <c r="M110" s="5"/>
    </row>
    <row r="111" spans="3:13" x14ac:dyDescent="0.25">
      <c r="D111" s="50"/>
      <c r="E111" s="131" t="s">
        <v>37</v>
      </c>
      <c r="F111" s="131"/>
      <c r="G111" s="131"/>
      <c r="H111" s="131"/>
      <c r="I111" s="44">
        <f>I110/I104*100</f>
        <v>-0.10945735538767924</v>
      </c>
      <c r="J111" s="5"/>
      <c r="K111" s="5"/>
      <c r="L111" s="5"/>
      <c r="M111" s="5"/>
    </row>
    <row r="112" spans="3:13" x14ac:dyDescent="0.25">
      <c r="D112" s="50"/>
      <c r="E112" s="5"/>
      <c r="F112" s="5"/>
      <c r="G112" s="5"/>
      <c r="H112" s="5"/>
      <c r="I112" s="5"/>
      <c r="J112" s="5"/>
      <c r="K112" s="5"/>
      <c r="L112" s="5"/>
      <c r="M112" s="5"/>
    </row>
    <row r="113" spans="4:15" x14ac:dyDescent="0.25">
      <c r="D113" s="50"/>
      <c r="E113" s="5"/>
      <c r="F113" s="5"/>
      <c r="G113" s="5"/>
      <c r="H113" s="5"/>
      <c r="I113" s="5"/>
      <c r="J113" s="5"/>
      <c r="K113" s="5"/>
      <c r="L113" s="5"/>
      <c r="M113" s="5"/>
    </row>
    <row r="115" spans="4:15" x14ac:dyDescent="0.25">
      <c r="E115" s="48" t="s">
        <v>34</v>
      </c>
      <c r="F115" s="48" t="str">
        <f>E21</f>
        <v>TABA</v>
      </c>
      <c r="G115" s="48" t="str">
        <f>E34</f>
        <v>4,4-DABA</v>
      </c>
      <c r="H115" s="48" t="str">
        <f>E47</f>
        <v>DAPBI</v>
      </c>
      <c r="I115" s="48" t="str">
        <f>E60</f>
        <v>2-AP 4-AB</v>
      </c>
      <c r="J115" s="48" t="str">
        <f>E74</f>
        <v>2, 4-DAPBA</v>
      </c>
      <c r="K115" s="48" t="str">
        <f>E87</f>
        <v>PABI</v>
      </c>
      <c r="L115" s="48" t="str">
        <f>E100</f>
        <v>4-BIA</v>
      </c>
    </row>
    <row r="116" spans="4:15" x14ac:dyDescent="0.25">
      <c r="D116" s="50"/>
      <c r="E116" s="48" t="s">
        <v>35</v>
      </c>
      <c r="F116" s="47">
        <f>I30</f>
        <v>129.01895579872601</v>
      </c>
      <c r="G116" s="47">
        <f>I43</f>
        <v>196.34036338765256</v>
      </c>
      <c r="H116" s="47">
        <f>I56</f>
        <v>182.03657203314623</v>
      </c>
      <c r="I116" s="47">
        <f>I69</f>
        <v>119.09698199043395</v>
      </c>
      <c r="J116" s="47">
        <f>I83</f>
        <v>27.05583577600661</v>
      </c>
      <c r="K116" s="47">
        <f>I96</f>
        <v>138.09959207891418</v>
      </c>
      <c r="L116" s="47">
        <f>I109</f>
        <v>348.99923394264562</v>
      </c>
      <c r="M116" s="5"/>
    </row>
    <row r="117" spans="4:15" x14ac:dyDescent="0.25">
      <c r="D117" s="50"/>
      <c r="E117" s="48" t="s">
        <v>45</v>
      </c>
      <c r="F117" s="47">
        <f>I31</f>
        <v>468.09928057553952</v>
      </c>
      <c r="G117" s="47">
        <f>I44</f>
        <v>692.27985611510667</v>
      </c>
      <c r="H117" s="47">
        <f>I57</f>
        <v>567.1611510791372</v>
      </c>
      <c r="I117" s="47">
        <f>I70</f>
        <v>456.35827338129275</v>
      </c>
      <c r="J117" s="47">
        <f>I84</f>
        <v>106.36834532374087</v>
      </c>
      <c r="K117" s="47">
        <f>I97</f>
        <v>-70.482733812948936</v>
      </c>
      <c r="L117" s="47">
        <f>I110</f>
        <v>-24.817266187048517</v>
      </c>
      <c r="M117" s="5"/>
    </row>
    <row r="118" spans="4:15" x14ac:dyDescent="0.25">
      <c r="D118" s="6"/>
      <c r="E118" s="48" t="s">
        <v>39</v>
      </c>
      <c r="F118" s="52">
        <v>1</v>
      </c>
      <c r="G118" s="51">
        <f>G116/F116</f>
        <v>1.5217947019657347</v>
      </c>
      <c r="H118" s="51">
        <f>H116/F116</f>
        <v>1.410928889527904</v>
      </c>
      <c r="I118" s="51">
        <f>I116/F116</f>
        <v>0.92309677483539176</v>
      </c>
      <c r="J118" s="51">
        <f>J116/F116</f>
        <v>0.20970434622191983</v>
      </c>
      <c r="K118" s="51">
        <f>K116/F116</f>
        <v>1.0703821870512908</v>
      </c>
      <c r="L118" s="51">
        <f>L116/F116</f>
        <v>2.7050229307939553</v>
      </c>
      <c r="M118" s="5"/>
    </row>
    <row r="119" spans="4:15" x14ac:dyDescent="0.25">
      <c r="D119" s="50"/>
      <c r="E119" s="48" t="s">
        <v>40</v>
      </c>
      <c r="F119" s="52">
        <v>1</v>
      </c>
      <c r="G119" s="51">
        <f t="shared" ref="G119:L119" si="7">1/G118</f>
        <v>0.65711886019071997</v>
      </c>
      <c r="H119" s="51">
        <f t="shared" si="7"/>
        <v>0.70875294100370956</v>
      </c>
      <c r="I119" s="51">
        <f t="shared" si="7"/>
        <v>1.0833100355900622</v>
      </c>
      <c r="J119" s="51">
        <f t="shared" si="7"/>
        <v>4.7686183811457541</v>
      </c>
      <c r="K119" s="51">
        <f t="shared" si="7"/>
        <v>0.93424574147185591</v>
      </c>
      <c r="L119" s="51">
        <f t="shared" si="7"/>
        <v>0.36968263322872774</v>
      </c>
      <c r="M119" s="5"/>
    </row>
    <row r="120" spans="4:15" x14ac:dyDescent="0.25">
      <c r="D120" s="50"/>
    </row>
    <row r="121" spans="4:15" x14ac:dyDescent="0.25">
      <c r="D121" s="50"/>
      <c r="E121" s="48" t="s">
        <v>41</v>
      </c>
      <c r="F121" s="51">
        <f>F116/H116</f>
        <v>0.70875294100370956</v>
      </c>
      <c r="G121" s="51">
        <f>G116/H116</f>
        <v>1.0785764706220782</v>
      </c>
      <c r="H121" s="39">
        <v>1</v>
      </c>
      <c r="I121" s="51">
        <f>I116/H116</f>
        <v>0.65424755399562295</v>
      </c>
      <c r="J121" s="51">
        <f>J116/H116</f>
        <v>0.14862857212604583</v>
      </c>
      <c r="K121" s="51">
        <f>K116/H116</f>
        <v>0.75863652307058516</v>
      </c>
      <c r="L121" s="51">
        <f>L116/H116</f>
        <v>1.9171929576826898</v>
      </c>
      <c r="M121" s="5"/>
    </row>
    <row r="122" spans="4:15" x14ac:dyDescent="0.25">
      <c r="D122" s="50"/>
      <c r="E122" s="48" t="s">
        <v>42</v>
      </c>
      <c r="F122" s="51">
        <f>1/F121</f>
        <v>1.410928889527904</v>
      </c>
      <c r="G122" s="51">
        <f>1/G121</f>
        <v>0.92714798369673457</v>
      </c>
      <c r="H122" s="39">
        <v>1</v>
      </c>
      <c r="I122" s="51">
        <f>1/I121</f>
        <v>1.5284734255295209</v>
      </c>
      <c r="J122" s="51">
        <f>1/J121</f>
        <v>6.7281814370923296</v>
      </c>
      <c r="K122" s="51">
        <f>1/K121</f>
        <v>1.318154306561059</v>
      </c>
      <c r="L122" s="51">
        <f>1/L121</f>
        <v>0.52159590717916027</v>
      </c>
      <c r="M122" s="5"/>
    </row>
    <row r="123" spans="4:15" x14ac:dyDescent="0.25">
      <c r="D123" s="50"/>
      <c r="E123" s="5"/>
      <c r="F123" s="5"/>
      <c r="G123" s="5"/>
      <c r="H123" s="5"/>
      <c r="I123" s="5"/>
      <c r="J123" s="5"/>
      <c r="K123" s="5"/>
      <c r="L123" s="5"/>
      <c r="M123" s="5"/>
    </row>
    <row r="124" spans="4:15" x14ac:dyDescent="0.25">
      <c r="D124" s="50"/>
    </row>
    <row r="125" spans="4:15" x14ac:dyDescent="0.25">
      <c r="D125" s="50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4:15" x14ac:dyDescent="0.25">
      <c r="E126" s="50"/>
      <c r="F126" s="5"/>
      <c r="G126" s="5"/>
      <c r="H126" s="5"/>
      <c r="I126" s="5"/>
      <c r="J126" s="5"/>
      <c r="K126" s="5"/>
      <c r="L126" s="5"/>
      <c r="M126" s="5"/>
    </row>
    <row r="127" spans="4:15" x14ac:dyDescent="0.25">
      <c r="D127" s="50"/>
      <c r="E127" s="5"/>
      <c r="F127" s="5"/>
      <c r="G127" s="40"/>
      <c r="H127" s="40"/>
      <c r="I127" s="40"/>
      <c r="J127" s="40"/>
      <c r="K127" s="40"/>
      <c r="L127" s="40"/>
      <c r="M127" s="40"/>
      <c r="N127" s="41"/>
    </row>
    <row r="128" spans="4:15" x14ac:dyDescent="0.25">
      <c r="G128" s="3"/>
      <c r="H128" s="3"/>
      <c r="I128" s="3"/>
      <c r="J128" s="3"/>
      <c r="K128" s="1"/>
      <c r="L128" s="1"/>
      <c r="M128" s="1"/>
      <c r="N128" s="42"/>
      <c r="O128" s="42">
        <f>100-N128</f>
        <v>100</v>
      </c>
    </row>
    <row r="129" spans="11:11" x14ac:dyDescent="0.25">
      <c r="K129" s="2"/>
    </row>
  </sheetData>
  <mergeCells count="60">
    <mergeCell ref="E109:H109"/>
    <mergeCell ref="E110:H110"/>
    <mergeCell ref="E111:H111"/>
    <mergeCell ref="E97:H97"/>
    <mergeCell ref="E69:H69"/>
    <mergeCell ref="E70:H70"/>
    <mergeCell ref="E71:H71"/>
    <mergeCell ref="E81:H81"/>
    <mergeCell ref="E82:H82"/>
    <mergeCell ref="E83:H83"/>
    <mergeCell ref="E84:H84"/>
    <mergeCell ref="E85:H85"/>
    <mergeCell ref="E94:H94"/>
    <mergeCell ref="E95:H95"/>
    <mergeCell ref="E96:H96"/>
    <mergeCell ref="E98:H98"/>
    <mergeCell ref="E107:H107"/>
    <mergeCell ref="E108:H108"/>
    <mergeCell ref="E31:H31"/>
    <mergeCell ref="E32:H32"/>
    <mergeCell ref="P36:R37"/>
    <mergeCell ref="E68:H68"/>
    <mergeCell ref="E41:H41"/>
    <mergeCell ref="E42:H42"/>
    <mergeCell ref="E43:H43"/>
    <mergeCell ref="E44:H44"/>
    <mergeCell ref="E45:H45"/>
    <mergeCell ref="E54:H54"/>
    <mergeCell ref="E55:H55"/>
    <mergeCell ref="E56:H56"/>
    <mergeCell ref="E57:H57"/>
    <mergeCell ref="E58:H58"/>
    <mergeCell ref="E67:H67"/>
    <mergeCell ref="P38:P39"/>
    <mergeCell ref="Q38:Q39"/>
    <mergeCell ref="R38:R39"/>
    <mergeCell ref="P28:P30"/>
    <mergeCell ref="Q28:Q30"/>
    <mergeCell ref="R28:R30"/>
    <mergeCell ref="S28:S30"/>
    <mergeCell ref="T28:T30"/>
    <mergeCell ref="U28:U30"/>
    <mergeCell ref="E7:L7"/>
    <mergeCell ref="F8:L8"/>
    <mergeCell ref="F9:L9"/>
    <mergeCell ref="F10:L10"/>
    <mergeCell ref="F11:K11"/>
    <mergeCell ref="E28:H28"/>
    <mergeCell ref="E29:H29"/>
    <mergeCell ref="E30:H30"/>
    <mergeCell ref="V4:X5"/>
    <mergeCell ref="E6:L6"/>
    <mergeCell ref="M6:M10"/>
    <mergeCell ref="O6:O10"/>
    <mergeCell ref="P6:Q6"/>
    <mergeCell ref="R6:S6"/>
    <mergeCell ref="T6:U6"/>
    <mergeCell ref="V6:V10"/>
    <mergeCell ref="W6:W10"/>
    <mergeCell ref="X6:X10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E804F-B3C6-4708-A564-243B48F85783}">
  <sheetPr>
    <pageSetUpPr fitToPage="1"/>
  </sheetPr>
  <dimension ref="B2:L46"/>
  <sheetViews>
    <sheetView tabSelected="1" topLeftCell="A10" zoomScaleNormal="100" zoomScaleSheetLayoutView="100" workbookViewId="0">
      <pane xSplit="2" topLeftCell="C1" activePane="topRight" state="frozen"/>
      <selection pane="topRight" activeCell="D10" sqref="D10"/>
    </sheetView>
  </sheetViews>
  <sheetFormatPr defaultRowHeight="15" x14ac:dyDescent="0.25"/>
  <cols>
    <col min="2" max="2" width="27" bestFit="1" customWidth="1"/>
    <col min="3" max="3" width="37.7109375" customWidth="1"/>
    <col min="4" max="7" width="26.140625" bestFit="1" customWidth="1"/>
    <col min="8" max="8" width="26.140625" customWidth="1"/>
    <col min="9" max="9" width="9.85546875" customWidth="1"/>
    <col min="10" max="10" width="16.140625" bestFit="1" customWidth="1"/>
    <col min="12" max="12" width="14.140625" bestFit="1" customWidth="1"/>
    <col min="13" max="13" width="16.140625" bestFit="1" customWidth="1"/>
  </cols>
  <sheetData>
    <row r="2" spans="2:12" ht="15.75" thickBot="1" x14ac:dyDescent="0.3"/>
    <row r="3" spans="2:12" ht="15.75" x14ac:dyDescent="0.25">
      <c r="B3" s="69" t="s">
        <v>48</v>
      </c>
      <c r="C3" s="70" t="str">
        <f>'26-12-2025'!F115</f>
        <v>TABA</v>
      </c>
      <c r="D3" s="70" t="str">
        <f>'26-12-2025'!G115</f>
        <v>4,4-DABA</v>
      </c>
      <c r="E3" s="70" t="str">
        <f>'26-12-2025'!H115</f>
        <v>DAPBI</v>
      </c>
      <c r="F3" s="70" t="str">
        <f>'26-12-2025'!I115</f>
        <v>2-AP 4-AB</v>
      </c>
      <c r="G3" s="70" t="str">
        <f>'26-12-2025'!J115</f>
        <v>2, 4-DAPBA</v>
      </c>
      <c r="H3" s="70" t="str">
        <f>'26-12-2025'!K115</f>
        <v>PABI</v>
      </c>
      <c r="I3" s="71" t="str">
        <f>'26-12-2025'!L115</f>
        <v>4-BIA</v>
      </c>
    </row>
    <row r="4" spans="2:12" ht="15.75" x14ac:dyDescent="0.25">
      <c r="B4" s="72" t="s">
        <v>35</v>
      </c>
      <c r="C4" s="73">
        <f>'26-12-2025'!F116</f>
        <v>129.01895579872601</v>
      </c>
      <c r="D4" s="73">
        <f>'26-12-2025'!G116</f>
        <v>196.34036338765256</v>
      </c>
      <c r="E4" s="73">
        <f>'26-12-2025'!H116</f>
        <v>182.03657203314623</v>
      </c>
      <c r="F4" s="73">
        <f>'26-12-2025'!I116</f>
        <v>119.09698199043395</v>
      </c>
      <c r="G4" s="73">
        <f>'26-12-2025'!J116</f>
        <v>27.05583577600661</v>
      </c>
      <c r="H4" s="73">
        <f>'26-12-2025'!K116</f>
        <v>138.09959207891418</v>
      </c>
      <c r="I4" s="74">
        <f>'26-12-2025'!L116</f>
        <v>348.99923394264562</v>
      </c>
    </row>
    <row r="5" spans="2:12" ht="16.5" customHeight="1" x14ac:dyDescent="0.25">
      <c r="B5" s="72" t="s">
        <v>45</v>
      </c>
      <c r="C5" s="73">
        <f>'26-12-2025'!F117</f>
        <v>468.09928057553952</v>
      </c>
      <c r="D5" s="73">
        <f>'26-12-2025'!G117</f>
        <v>692.27985611510667</v>
      </c>
      <c r="E5" s="73">
        <f>'26-12-2025'!H117</f>
        <v>567.1611510791372</v>
      </c>
      <c r="F5" s="73">
        <f>'26-12-2025'!I117</f>
        <v>456.35827338129275</v>
      </c>
      <c r="G5" s="73">
        <f>'26-12-2025'!J117</f>
        <v>106.36834532374087</v>
      </c>
      <c r="H5" s="73">
        <f>'26-12-2025'!K117</f>
        <v>-70.482733812948936</v>
      </c>
      <c r="I5" s="74">
        <f>'26-12-2025'!L117</f>
        <v>-24.817266187048517</v>
      </c>
    </row>
    <row r="6" spans="2:12" ht="15.75" x14ac:dyDescent="0.25">
      <c r="B6" s="75"/>
      <c r="C6" s="79"/>
      <c r="D6" s="79"/>
      <c r="E6" s="79"/>
      <c r="F6" s="79"/>
      <c r="G6" s="79"/>
      <c r="H6" s="79"/>
      <c r="I6" s="76"/>
    </row>
    <row r="7" spans="2:12" ht="15.75" x14ac:dyDescent="0.25">
      <c r="B7" s="80">
        <v>46017</v>
      </c>
      <c r="C7" s="64"/>
      <c r="D7" s="64"/>
      <c r="E7" s="64"/>
      <c r="F7" s="79"/>
      <c r="G7" s="79"/>
      <c r="H7" s="79"/>
      <c r="I7" s="76"/>
      <c r="J7" s="115"/>
      <c r="K7" s="115"/>
      <c r="L7" s="115"/>
    </row>
    <row r="8" spans="2:12" ht="15.75" x14ac:dyDescent="0.25">
      <c r="B8" s="81" t="s">
        <v>52</v>
      </c>
      <c r="C8" s="104" t="s">
        <v>84</v>
      </c>
      <c r="D8" s="63" t="s">
        <v>53</v>
      </c>
      <c r="E8" s="63" t="s">
        <v>109</v>
      </c>
      <c r="F8" s="82"/>
      <c r="G8" s="79"/>
      <c r="H8" s="82"/>
      <c r="I8" s="76"/>
      <c r="J8" s="5"/>
      <c r="K8" s="5"/>
      <c r="L8" s="5"/>
    </row>
    <row r="9" spans="2:12" ht="15.75" x14ac:dyDescent="0.25">
      <c r="B9" s="96"/>
      <c r="C9" s="65" t="s">
        <v>50</v>
      </c>
      <c r="D9" s="65" t="s">
        <v>46</v>
      </c>
      <c r="E9" s="65" t="s">
        <v>51</v>
      </c>
      <c r="F9" s="79"/>
      <c r="H9" s="79"/>
      <c r="I9" s="77"/>
      <c r="J9" s="5"/>
      <c r="K9" s="5"/>
      <c r="L9" s="5"/>
    </row>
    <row r="10" spans="2:12" ht="15.75" customHeight="1" x14ac:dyDescent="0.25">
      <c r="B10" s="96" t="s">
        <v>30</v>
      </c>
      <c r="C10" s="66">
        <v>7218</v>
      </c>
      <c r="D10" s="67">
        <f>(C10-$D$5)/$D$4</f>
        <v>33.236773281307286</v>
      </c>
      <c r="E10" s="85">
        <f>D10/10000</f>
        <v>3.3236773281307285E-3</v>
      </c>
      <c r="F10" s="83"/>
      <c r="G10" s="79"/>
      <c r="H10" s="83"/>
      <c r="I10" s="76"/>
      <c r="J10" s="5"/>
      <c r="K10" s="5"/>
      <c r="L10" s="5"/>
    </row>
    <row r="11" spans="2:12" ht="15.75" customHeight="1" x14ac:dyDescent="0.25">
      <c r="B11" s="96" t="s">
        <v>56</v>
      </c>
      <c r="C11" s="66">
        <v>248050</v>
      </c>
      <c r="D11" s="67">
        <f>(C11-$G$5)/$G$4</f>
        <v>9164.146090602575</v>
      </c>
      <c r="E11" s="85">
        <f t="shared" ref="E11:E31" si="0">D11/10000</f>
        <v>0.91641460906025751</v>
      </c>
      <c r="F11" s="83"/>
      <c r="G11" s="79"/>
      <c r="H11" s="83"/>
      <c r="I11" s="76"/>
      <c r="J11" s="5"/>
      <c r="K11" s="5"/>
      <c r="L11" s="5"/>
    </row>
    <row r="12" spans="2:12" ht="15.75" customHeight="1" x14ac:dyDescent="0.25">
      <c r="B12" s="96" t="s">
        <v>57</v>
      </c>
      <c r="C12" s="66">
        <v>11125</v>
      </c>
      <c r="D12" s="67">
        <f>(C12-$F$5)/$F$4</f>
        <v>89.579446500799065</v>
      </c>
      <c r="E12" s="85">
        <f t="shared" si="0"/>
        <v>8.9579446500799072E-3</v>
      </c>
      <c r="F12" s="83"/>
      <c r="G12" s="79"/>
      <c r="H12" s="83"/>
      <c r="I12" s="76"/>
      <c r="J12" s="5"/>
      <c r="K12" s="5"/>
      <c r="L12" s="5"/>
    </row>
    <row r="13" spans="2:12" ht="15.75" customHeight="1" x14ac:dyDescent="0.25">
      <c r="B13" s="96" t="s">
        <v>58</v>
      </c>
      <c r="C13" s="66">
        <v>44647</v>
      </c>
      <c r="D13" s="67">
        <f>(C13-$E$5)/$E$4</f>
        <v>242.14825821316037</v>
      </c>
      <c r="E13" s="85">
        <f t="shared" si="0"/>
        <v>2.4214825821316038E-2</v>
      </c>
      <c r="F13" s="83"/>
      <c r="G13" s="79"/>
      <c r="H13" s="83"/>
      <c r="I13" s="76"/>
      <c r="J13" s="5"/>
      <c r="K13" s="5"/>
      <c r="L13" s="5"/>
    </row>
    <row r="14" spans="2:12" ht="15.75" customHeight="1" x14ac:dyDescent="0.25">
      <c r="B14" s="96" t="s">
        <v>33</v>
      </c>
      <c r="C14" s="66">
        <v>2626</v>
      </c>
      <c r="D14" s="67">
        <f>(C14-$I$5)/$I$4</f>
        <v>7.5954816182280869</v>
      </c>
      <c r="E14" s="85">
        <f t="shared" si="0"/>
        <v>7.5954816182280871E-4</v>
      </c>
      <c r="F14" s="83"/>
      <c r="G14" s="79"/>
      <c r="H14" s="83"/>
      <c r="I14" s="76"/>
      <c r="J14" s="5"/>
      <c r="K14" s="5"/>
      <c r="L14" s="5"/>
    </row>
    <row r="15" spans="2:12" ht="15.75" customHeight="1" x14ac:dyDescent="0.25">
      <c r="B15" s="96" t="s">
        <v>63</v>
      </c>
      <c r="C15" s="66">
        <v>11481</v>
      </c>
      <c r="D15" s="67">
        <f>(C15-$C$5)/$C$4</f>
        <v>85.358780430721851</v>
      </c>
      <c r="E15" s="85">
        <f t="shared" si="0"/>
        <v>8.5358780430721849E-3</v>
      </c>
      <c r="F15" s="83"/>
      <c r="G15" s="79"/>
      <c r="H15" s="83"/>
      <c r="I15" s="76"/>
      <c r="J15" s="5"/>
      <c r="K15" s="5"/>
      <c r="L15" s="5"/>
    </row>
    <row r="16" spans="2:12" ht="15.75" customHeight="1" x14ac:dyDescent="0.25">
      <c r="B16" s="96" t="s">
        <v>64</v>
      </c>
      <c r="C16" s="66">
        <v>5378</v>
      </c>
      <c r="D16" s="67">
        <f t="shared" ref="D16:D35" si="1">(C16-$C$5)/$C$4</f>
        <v>38.05565383031059</v>
      </c>
      <c r="E16" s="85">
        <f t="shared" si="0"/>
        <v>3.805565383031059E-3</v>
      </c>
      <c r="F16" s="83"/>
      <c r="G16" s="79"/>
      <c r="H16" s="83"/>
      <c r="I16" s="76"/>
      <c r="J16" s="5"/>
      <c r="K16" s="5"/>
      <c r="L16" s="5"/>
    </row>
    <row r="17" spans="2:12" ht="15.75" customHeight="1" x14ac:dyDescent="0.25">
      <c r="B17" s="96" t="s">
        <v>65</v>
      </c>
      <c r="C17" s="66">
        <v>4661</v>
      </c>
      <c r="D17" s="67">
        <f t="shared" si="1"/>
        <v>32.498330911664866</v>
      </c>
      <c r="E17" s="85">
        <f t="shared" si="0"/>
        <v>3.2498330911664864E-3</v>
      </c>
      <c r="F17" s="83"/>
      <c r="G17" s="79"/>
      <c r="H17" s="83"/>
      <c r="I17" s="76"/>
      <c r="J17" s="5"/>
      <c r="K17" s="5"/>
      <c r="L17" s="5"/>
    </row>
    <row r="18" spans="2:12" ht="15.75" customHeight="1" x14ac:dyDescent="0.25">
      <c r="B18" s="96" t="s">
        <v>66</v>
      </c>
      <c r="C18" s="66">
        <v>3057</v>
      </c>
      <c r="D18" s="67">
        <f t="shared" si="1"/>
        <v>20.066049235921845</v>
      </c>
      <c r="E18" s="85">
        <f t="shared" si="0"/>
        <v>2.0066049235921844E-3</v>
      </c>
      <c r="F18" s="83"/>
      <c r="G18" s="79"/>
      <c r="H18" s="83"/>
      <c r="I18" s="76"/>
      <c r="J18" s="5"/>
      <c r="K18" s="5"/>
      <c r="L18" s="5"/>
    </row>
    <row r="19" spans="2:12" ht="15.75" customHeight="1" x14ac:dyDescent="0.25">
      <c r="B19" s="96" t="s">
        <v>67</v>
      </c>
      <c r="C19" s="66">
        <v>11093</v>
      </c>
      <c r="D19" s="67">
        <f t="shared" si="1"/>
        <v>82.351470399432387</v>
      </c>
      <c r="E19" s="85">
        <f>D19/10000</f>
        <v>8.2351470399432379E-3</v>
      </c>
      <c r="F19" s="83"/>
      <c r="G19" s="79"/>
      <c r="H19" s="83"/>
      <c r="I19" s="76"/>
      <c r="J19" s="5"/>
      <c r="K19" s="5"/>
      <c r="L19" s="5"/>
    </row>
    <row r="20" spans="2:12" ht="15.75" customHeight="1" x14ac:dyDescent="0.25">
      <c r="B20" s="96" t="s">
        <v>68</v>
      </c>
      <c r="C20" s="66">
        <v>26922</v>
      </c>
      <c r="D20" s="67">
        <f t="shared" si="1"/>
        <v>205.03886855737272</v>
      </c>
      <c r="E20" s="85">
        <f>D20/10000</f>
        <v>2.0503886855737272E-2</v>
      </c>
      <c r="F20" s="83"/>
      <c r="G20" s="79"/>
      <c r="H20" s="83"/>
      <c r="I20" s="76"/>
      <c r="J20" s="5"/>
      <c r="K20" s="5"/>
      <c r="L20" s="5"/>
    </row>
    <row r="21" spans="2:12" ht="15.75" customHeight="1" x14ac:dyDescent="0.25">
      <c r="B21" s="96" t="s">
        <v>69</v>
      </c>
      <c r="C21" s="66">
        <v>8960</v>
      </c>
      <c r="D21" s="67">
        <f t="shared" si="1"/>
        <v>65.819016026390074</v>
      </c>
      <c r="E21" s="85">
        <f>D21/10000</f>
        <v>6.5819016026390075E-3</v>
      </c>
      <c r="F21" s="83"/>
      <c r="G21" s="79"/>
      <c r="H21" s="83"/>
      <c r="I21" s="76"/>
      <c r="J21" s="5"/>
      <c r="K21" s="5"/>
      <c r="L21" s="5"/>
    </row>
    <row r="22" spans="2:12" ht="15.75" customHeight="1" x14ac:dyDescent="0.25">
      <c r="B22" s="96" t="s">
        <v>70</v>
      </c>
      <c r="C22" s="66">
        <v>6645</v>
      </c>
      <c r="D22" s="67">
        <f t="shared" si="1"/>
        <v>47.875916226299623</v>
      </c>
      <c r="E22" s="85">
        <f t="shared" si="0"/>
        <v>4.7875916226299622E-3</v>
      </c>
      <c r="F22" s="83"/>
      <c r="G22" s="79"/>
      <c r="H22" s="83"/>
      <c r="I22" s="76"/>
      <c r="J22" s="5"/>
      <c r="K22" s="5"/>
      <c r="L22" s="5"/>
    </row>
    <row r="23" spans="2:12" ht="15.75" customHeight="1" x14ac:dyDescent="0.25">
      <c r="B23" s="96" t="s">
        <v>71</v>
      </c>
      <c r="C23" s="66">
        <v>9421</v>
      </c>
      <c r="D23" s="67">
        <f t="shared" si="1"/>
        <v>69.392134388308733</v>
      </c>
      <c r="E23" s="85">
        <f t="shared" si="0"/>
        <v>6.9392134388308732E-3</v>
      </c>
      <c r="F23" s="83"/>
      <c r="G23" s="79"/>
      <c r="H23" s="83"/>
      <c r="I23" s="76"/>
      <c r="J23" s="5"/>
      <c r="K23" s="5"/>
      <c r="L23" s="5"/>
    </row>
    <row r="24" spans="2:12" ht="15.75" customHeight="1" x14ac:dyDescent="0.25">
      <c r="B24" s="96" t="s">
        <v>72</v>
      </c>
      <c r="C24" s="66">
        <v>6409</v>
      </c>
      <c r="D24" s="67">
        <f t="shared" si="1"/>
        <v>46.046727650566858</v>
      </c>
      <c r="E24" s="85">
        <f t="shared" si="0"/>
        <v>4.6046727650566862E-3</v>
      </c>
      <c r="F24" s="83"/>
      <c r="G24" s="79"/>
      <c r="H24" s="83"/>
      <c r="I24" s="76"/>
      <c r="J24" s="5"/>
      <c r="K24" s="5"/>
      <c r="L24" s="5"/>
    </row>
    <row r="25" spans="2:12" ht="15.75" customHeight="1" x14ac:dyDescent="0.25">
      <c r="B25" s="96" t="s">
        <v>73</v>
      </c>
      <c r="C25" s="66">
        <v>15397</v>
      </c>
      <c r="D25" s="67">
        <f t="shared" si="1"/>
        <v>115.71090950940618</v>
      </c>
      <c r="E25" s="85">
        <f t="shared" si="0"/>
        <v>1.1571090950940617E-2</v>
      </c>
      <c r="F25" s="83"/>
      <c r="G25" s="79"/>
      <c r="H25" s="83"/>
      <c r="I25" s="76"/>
      <c r="J25" s="5"/>
      <c r="K25" s="5"/>
      <c r="L25" s="5"/>
    </row>
    <row r="26" spans="2:12" ht="15.75" customHeight="1" x14ac:dyDescent="0.25">
      <c r="B26" s="96" t="s">
        <v>74</v>
      </c>
      <c r="C26" s="66">
        <v>3964</v>
      </c>
      <c r="D26" s="67">
        <f t="shared" si="1"/>
        <v>27.096023974013441</v>
      </c>
      <c r="E26" s="85">
        <f t="shared" si="0"/>
        <v>2.7096023974013442E-3</v>
      </c>
      <c r="F26" s="83"/>
      <c r="G26" s="79"/>
      <c r="H26" s="83"/>
      <c r="I26" s="76"/>
      <c r="J26" s="5"/>
      <c r="K26" s="5"/>
      <c r="L26" s="5"/>
    </row>
    <row r="27" spans="2:12" ht="15.75" customHeight="1" x14ac:dyDescent="0.25">
      <c r="B27" s="96" t="s">
        <v>75</v>
      </c>
      <c r="C27" s="66">
        <v>19126</v>
      </c>
      <c r="D27" s="67">
        <f>(C27-$C$5)/$C$4</f>
        <v>144.61363916579378</v>
      </c>
      <c r="E27" s="85">
        <f t="shared" si="0"/>
        <v>1.4461363916579378E-2</v>
      </c>
      <c r="F27" s="83"/>
      <c r="G27" s="79"/>
      <c r="H27" s="83"/>
      <c r="I27" s="76"/>
      <c r="J27" s="5"/>
      <c r="K27" s="5"/>
      <c r="L27" s="5"/>
    </row>
    <row r="28" spans="2:12" ht="15.75" customHeight="1" x14ac:dyDescent="0.25">
      <c r="B28" s="96" t="s">
        <v>76</v>
      </c>
      <c r="C28" s="66">
        <v>48338</v>
      </c>
      <c r="D28" s="67">
        <f t="shared" si="1"/>
        <v>371.0299810060713</v>
      </c>
      <c r="E28" s="85">
        <f t="shared" si="0"/>
        <v>3.7102998100607132E-2</v>
      </c>
      <c r="F28" s="83"/>
      <c r="G28" s="79"/>
      <c r="H28" s="83"/>
      <c r="I28" s="76"/>
      <c r="J28" s="5"/>
      <c r="K28" s="5"/>
      <c r="L28" s="5"/>
    </row>
    <row r="29" spans="2:12" ht="15.75" customHeight="1" x14ac:dyDescent="0.25">
      <c r="B29" s="96" t="s">
        <v>77</v>
      </c>
      <c r="C29" s="66">
        <v>7665</v>
      </c>
      <c r="D29" s="67">
        <f t="shared" si="1"/>
        <v>55.781731257009021</v>
      </c>
      <c r="E29" s="85">
        <f t="shared" si="0"/>
        <v>5.5781731257009025E-3</v>
      </c>
      <c r="F29" s="83"/>
      <c r="G29" s="79"/>
      <c r="H29" s="83"/>
      <c r="I29" s="76"/>
      <c r="J29" s="5"/>
      <c r="K29" s="5"/>
      <c r="L29" s="5"/>
    </row>
    <row r="30" spans="2:12" ht="15.75" customHeight="1" x14ac:dyDescent="0.25">
      <c r="B30" s="96" t="s">
        <v>78</v>
      </c>
      <c r="C30" s="66">
        <v>8024</v>
      </c>
      <c r="D30" s="67">
        <f t="shared" si="1"/>
        <v>58.564268115856748</v>
      </c>
      <c r="E30" s="85">
        <f t="shared" si="0"/>
        <v>5.856426811585675E-3</v>
      </c>
      <c r="F30" s="83"/>
      <c r="G30" s="79"/>
      <c r="H30" s="83"/>
      <c r="I30" s="76"/>
      <c r="J30" s="5"/>
      <c r="K30" s="5"/>
      <c r="L30" s="5"/>
    </row>
    <row r="31" spans="2:12" ht="15.75" customHeight="1" x14ac:dyDescent="0.25">
      <c r="B31" s="96" t="s">
        <v>79</v>
      </c>
      <c r="C31" s="66">
        <v>13747</v>
      </c>
      <c r="D31" s="67">
        <f t="shared" si="1"/>
        <v>102.92209107737627</v>
      </c>
      <c r="E31" s="85">
        <f t="shared" si="0"/>
        <v>1.0292209107737626E-2</v>
      </c>
      <c r="F31" s="83"/>
      <c r="G31" s="79"/>
      <c r="H31" s="83"/>
      <c r="I31" s="76"/>
      <c r="J31" s="5"/>
      <c r="K31" s="5"/>
      <c r="L31" s="5"/>
    </row>
    <row r="32" spans="2:12" ht="15.75" customHeight="1" x14ac:dyDescent="0.25">
      <c r="B32" s="96" t="s">
        <v>80</v>
      </c>
      <c r="C32" s="66">
        <v>36817</v>
      </c>
      <c r="D32" s="67">
        <f t="shared" ref="D32:D34" si="2">(C32-$C$5)/$C$4</f>
        <v>281.73302515430362</v>
      </c>
      <c r="E32" s="85">
        <f>D32/10000</f>
        <v>2.8173302515430362E-2</v>
      </c>
      <c r="F32" s="83"/>
      <c r="G32" s="79"/>
      <c r="H32" s="83"/>
      <c r="I32" s="76"/>
      <c r="J32" s="5"/>
      <c r="K32" s="5"/>
      <c r="L32" s="5"/>
    </row>
    <row r="33" spans="2:12" ht="15.75" customHeight="1" x14ac:dyDescent="0.25">
      <c r="B33" s="96" t="s">
        <v>81</v>
      </c>
      <c r="C33" s="66">
        <v>17926</v>
      </c>
      <c r="D33" s="67">
        <f t="shared" si="2"/>
        <v>135.31268030613566</v>
      </c>
      <c r="E33" s="85">
        <f>D33/10000</f>
        <v>1.3531268030613566E-2</v>
      </c>
      <c r="F33" s="83"/>
      <c r="G33" s="79"/>
      <c r="H33" s="83"/>
      <c r="I33" s="76"/>
      <c r="J33" s="5"/>
      <c r="K33" s="5"/>
      <c r="L33" s="5"/>
    </row>
    <row r="34" spans="2:12" ht="15.75" customHeight="1" x14ac:dyDescent="0.25">
      <c r="B34" s="96" t="s">
        <v>82</v>
      </c>
      <c r="C34" s="66">
        <v>14496</v>
      </c>
      <c r="D34" s="67">
        <f t="shared" si="2"/>
        <v>108.72743956561287</v>
      </c>
      <c r="E34" s="85">
        <f>D34/10000</f>
        <v>1.0872743956561287E-2</v>
      </c>
      <c r="F34" s="83"/>
      <c r="G34" s="79"/>
      <c r="H34" s="83"/>
      <c r="I34" s="76"/>
      <c r="J34" s="5"/>
      <c r="K34" s="5"/>
      <c r="L34" s="5"/>
    </row>
    <row r="35" spans="2:12" ht="15.75" customHeight="1" x14ac:dyDescent="0.25">
      <c r="B35" s="96" t="s">
        <v>83</v>
      </c>
      <c r="C35" s="66">
        <v>123068</v>
      </c>
      <c r="D35" s="67">
        <f t="shared" si="1"/>
        <v>950.24719399128071</v>
      </c>
      <c r="E35" s="85">
        <f>D35/10000</f>
        <v>9.5024719399128071E-2</v>
      </c>
      <c r="F35" s="83"/>
      <c r="G35" s="79"/>
      <c r="H35" s="83"/>
      <c r="I35" s="76"/>
      <c r="J35" s="5"/>
      <c r="K35" s="5"/>
      <c r="L35" s="5"/>
    </row>
    <row r="36" spans="2:12" ht="15.75" customHeight="1" x14ac:dyDescent="0.25">
      <c r="B36" s="106"/>
      <c r="C36" s="105"/>
      <c r="D36" s="102"/>
      <c r="E36" s="103"/>
      <c r="F36" s="83"/>
      <c r="G36" s="79"/>
      <c r="H36" s="83"/>
      <c r="I36" s="76"/>
      <c r="J36" s="5"/>
      <c r="K36" s="5"/>
      <c r="L36" s="5"/>
    </row>
    <row r="37" spans="2:12" s="95" customFormat="1" ht="15.75" x14ac:dyDescent="0.25">
      <c r="B37" s="97" t="s">
        <v>47</v>
      </c>
      <c r="C37" s="88"/>
      <c r="D37" s="89">
        <f>SUM(D15:D35)</f>
        <v>3044.2419307798491</v>
      </c>
      <c r="E37" s="68">
        <f>D37/10000</f>
        <v>0.30442419307798491</v>
      </c>
      <c r="F37" s="90"/>
      <c r="G37" s="91"/>
      <c r="H37" s="84"/>
      <c r="I37" s="92"/>
      <c r="J37" s="93"/>
      <c r="K37" s="93"/>
      <c r="L37" s="94"/>
    </row>
    <row r="38" spans="2:12" s="95" customFormat="1" ht="15.75" x14ac:dyDescent="0.25">
      <c r="B38" s="97" t="s">
        <v>44</v>
      </c>
      <c r="C38" s="88"/>
      <c r="D38" s="89">
        <f>D37+D10+D11+D12+D13+D14</f>
        <v>12580.947980995918</v>
      </c>
      <c r="E38" s="68">
        <f>D38/10000</f>
        <v>1.2580947980995918</v>
      </c>
      <c r="F38" s="90"/>
      <c r="G38" s="91"/>
      <c r="H38" s="84"/>
      <c r="I38" s="92"/>
      <c r="J38" s="93"/>
      <c r="K38" s="93"/>
      <c r="L38" s="94"/>
    </row>
    <row r="39" spans="2:12" ht="16.5" thickBot="1" x14ac:dyDescent="0.3">
      <c r="B39" s="98" t="s">
        <v>49</v>
      </c>
      <c r="C39" s="134"/>
      <c r="D39" s="135"/>
      <c r="E39" s="99">
        <f>100-E38</f>
        <v>98.741905201900408</v>
      </c>
      <c r="F39" s="78"/>
      <c r="G39" s="100"/>
      <c r="H39" s="87"/>
      <c r="I39" s="101"/>
      <c r="J39" s="5"/>
      <c r="K39" s="5"/>
      <c r="L39" s="3"/>
    </row>
    <row r="46" spans="2:12" x14ac:dyDescent="0.25">
      <c r="D46" s="86"/>
    </row>
  </sheetData>
  <mergeCells count="2">
    <mergeCell ref="J7:L7"/>
    <mergeCell ref="C39:D39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7FB88-7D4D-4DF6-8900-29E838B823D7}">
  <sheetPr>
    <pageSetUpPr fitToPage="1"/>
  </sheetPr>
  <dimension ref="B2:L27"/>
  <sheetViews>
    <sheetView zoomScaleNormal="100" zoomScaleSheetLayoutView="100" workbookViewId="0">
      <pane xSplit="2" topLeftCell="C1" activePane="topRight" state="frozen"/>
      <selection pane="topRight" activeCell="C10" sqref="C10"/>
    </sheetView>
  </sheetViews>
  <sheetFormatPr defaultRowHeight="15" x14ac:dyDescent="0.25"/>
  <cols>
    <col min="2" max="2" width="27" bestFit="1" customWidth="1"/>
    <col min="3" max="3" width="37.7109375" customWidth="1"/>
    <col min="4" max="7" width="26.140625" bestFit="1" customWidth="1"/>
    <col min="8" max="8" width="26.140625" customWidth="1"/>
    <col min="9" max="9" width="9.85546875" customWidth="1"/>
    <col min="10" max="10" width="16.140625" bestFit="1" customWidth="1"/>
    <col min="12" max="12" width="14.140625" bestFit="1" customWidth="1"/>
    <col min="13" max="13" width="16.140625" bestFit="1" customWidth="1"/>
  </cols>
  <sheetData>
    <row r="2" spans="2:12" ht="15.75" thickBot="1" x14ac:dyDescent="0.3"/>
    <row r="3" spans="2:12" ht="15.75" x14ac:dyDescent="0.25">
      <c r="B3" s="69" t="s">
        <v>48</v>
      </c>
      <c r="C3" s="70" t="str">
        <f>'26-12-2025'!F115</f>
        <v>TABA</v>
      </c>
      <c r="D3" s="70" t="str">
        <f>'26-12-2025'!G115</f>
        <v>4,4-DABA</v>
      </c>
      <c r="E3" s="70" t="str">
        <f>'26-12-2025'!H115</f>
        <v>DAPBI</v>
      </c>
      <c r="F3" s="70" t="str">
        <f>'26-12-2025'!I115</f>
        <v>2-AP 4-AB</v>
      </c>
      <c r="G3" s="70" t="str">
        <f>'26-12-2025'!J115</f>
        <v>2, 4-DAPBA</v>
      </c>
      <c r="H3" s="70" t="str">
        <f>'26-12-2025'!K115</f>
        <v>PABI</v>
      </c>
      <c r="I3" s="71" t="str">
        <f>'26-12-2025'!L115</f>
        <v>4-BIA</v>
      </c>
    </row>
    <row r="4" spans="2:12" ht="15.75" x14ac:dyDescent="0.25">
      <c r="B4" s="72" t="s">
        <v>35</v>
      </c>
      <c r="C4" s="73">
        <f>'26-12-2025'!F116</f>
        <v>129.01895579872601</v>
      </c>
      <c r="D4" s="73">
        <f>'26-12-2025'!G116</f>
        <v>196.34036338765256</v>
      </c>
      <c r="E4" s="73">
        <f>'26-12-2025'!H116</f>
        <v>182.03657203314623</v>
      </c>
      <c r="F4" s="73">
        <f>'26-12-2025'!I116</f>
        <v>119.09698199043395</v>
      </c>
      <c r="G4" s="73">
        <f>'26-12-2025'!J116</f>
        <v>27.05583577600661</v>
      </c>
      <c r="H4" s="73">
        <f>'26-12-2025'!K116</f>
        <v>138.09959207891418</v>
      </c>
      <c r="I4" s="74">
        <f>'26-12-2025'!L116</f>
        <v>348.99923394264562</v>
      </c>
    </row>
    <row r="5" spans="2:12" ht="16.5" customHeight="1" x14ac:dyDescent="0.25">
      <c r="B5" s="72" t="s">
        <v>45</v>
      </c>
      <c r="C5" s="73">
        <f>'26-12-2025'!F117</f>
        <v>468.09928057553952</v>
      </c>
      <c r="D5" s="73">
        <f>'26-12-2025'!G117</f>
        <v>692.27985611510667</v>
      </c>
      <c r="E5" s="73">
        <f>'26-12-2025'!H117</f>
        <v>567.1611510791372</v>
      </c>
      <c r="F5" s="73">
        <f>'26-12-2025'!I117</f>
        <v>456.35827338129275</v>
      </c>
      <c r="G5" s="73">
        <f>'26-12-2025'!J117</f>
        <v>106.36834532374087</v>
      </c>
      <c r="H5" s="73">
        <f>'26-12-2025'!K117</f>
        <v>-70.482733812948936</v>
      </c>
      <c r="I5" s="74">
        <f>'26-12-2025'!L117</f>
        <v>-24.817266187048517</v>
      </c>
    </row>
    <row r="6" spans="2:12" ht="15.75" x14ac:dyDescent="0.25">
      <c r="B6" s="75"/>
      <c r="C6" s="79"/>
      <c r="D6" s="79"/>
      <c r="E6" s="79"/>
      <c r="F6" s="79"/>
      <c r="G6" s="79"/>
      <c r="H6" s="79"/>
      <c r="I6" s="76"/>
    </row>
    <row r="7" spans="2:12" ht="15.75" x14ac:dyDescent="0.25">
      <c r="B7" s="80">
        <v>46017</v>
      </c>
      <c r="C7" s="64"/>
      <c r="D7" s="64"/>
      <c r="E7" s="64"/>
      <c r="F7" s="79"/>
      <c r="G7" s="79"/>
      <c r="H7" s="79"/>
      <c r="I7" s="76"/>
      <c r="J7" s="115"/>
      <c r="K7" s="115"/>
      <c r="L7" s="115"/>
    </row>
    <row r="8" spans="2:12" ht="15.75" x14ac:dyDescent="0.25">
      <c r="B8" s="81" t="s">
        <v>52</v>
      </c>
      <c r="C8" s="104" t="s">
        <v>85</v>
      </c>
      <c r="D8" s="63" t="s">
        <v>53</v>
      </c>
      <c r="E8" s="63" t="s">
        <v>110</v>
      </c>
      <c r="F8" s="82"/>
      <c r="G8" s="79"/>
      <c r="H8" s="82"/>
      <c r="I8" s="76"/>
      <c r="J8" s="5"/>
      <c r="K8" s="5"/>
      <c r="L8" s="5"/>
    </row>
    <row r="9" spans="2:12" ht="15.75" x14ac:dyDescent="0.25">
      <c r="B9" s="96"/>
      <c r="C9" s="65" t="s">
        <v>50</v>
      </c>
      <c r="D9" s="65" t="s">
        <v>46</v>
      </c>
      <c r="E9" s="65" t="s">
        <v>51</v>
      </c>
      <c r="F9" s="79"/>
      <c r="G9" s="79"/>
      <c r="H9" s="79"/>
      <c r="I9" s="77"/>
      <c r="J9" s="5"/>
      <c r="K9" s="5"/>
      <c r="L9" s="5"/>
    </row>
    <row r="10" spans="2:12" ht="15.75" customHeight="1" x14ac:dyDescent="0.25">
      <c r="B10" s="96" t="s">
        <v>32</v>
      </c>
      <c r="C10" s="66">
        <v>19927</v>
      </c>
      <c r="D10" s="67">
        <f>(C10-$H$5)/$H$4</f>
        <v>144.80479219942805</v>
      </c>
      <c r="E10" s="85">
        <f>D10/10000</f>
        <v>1.4480479219942805E-2</v>
      </c>
      <c r="F10" s="83"/>
      <c r="G10" s="79"/>
      <c r="H10" s="83"/>
      <c r="I10" s="76"/>
      <c r="J10" s="5"/>
      <c r="K10" s="5"/>
      <c r="L10" s="5"/>
    </row>
    <row r="11" spans="2:12" ht="15.75" customHeight="1" x14ac:dyDescent="0.25">
      <c r="B11" s="96" t="s">
        <v>33</v>
      </c>
      <c r="C11" s="66">
        <v>7366</v>
      </c>
      <c r="D11" s="67">
        <f>(C11-$I$5)/$I$4</f>
        <v>21.177173321250475</v>
      </c>
      <c r="E11" s="85">
        <f t="shared" ref="E11:E16" si="0">D11/10000</f>
        <v>2.1177173321250474E-3</v>
      </c>
      <c r="F11" s="83"/>
      <c r="G11" s="79"/>
      <c r="H11" s="83"/>
      <c r="I11" s="76"/>
      <c r="J11" s="5"/>
      <c r="K11" s="5"/>
      <c r="L11" s="5"/>
    </row>
    <row r="12" spans="2:12" ht="15.75" customHeight="1" x14ac:dyDescent="0.25">
      <c r="B12" s="96" t="s">
        <v>88</v>
      </c>
      <c r="C12" s="66">
        <v>14091</v>
      </c>
      <c r="D12" s="67">
        <f>(C12-$E$5)/$E$4</f>
        <v>74.291878263112793</v>
      </c>
      <c r="E12" s="85">
        <f t="shared" si="0"/>
        <v>7.4291878263112792E-3</v>
      </c>
      <c r="F12" s="83"/>
      <c r="G12" s="79"/>
      <c r="H12" s="83"/>
      <c r="I12" s="76"/>
      <c r="J12" s="5"/>
      <c r="K12" s="5"/>
      <c r="L12" s="5"/>
    </row>
    <row r="13" spans="2:12" ht="15.75" customHeight="1" x14ac:dyDescent="0.25">
      <c r="B13" s="96" t="s">
        <v>59</v>
      </c>
      <c r="C13" s="66">
        <v>9095</v>
      </c>
      <c r="D13" s="67">
        <f>(C13-$E$5)/$E$4</f>
        <v>46.84684376152758</v>
      </c>
      <c r="E13" s="85">
        <f t="shared" si="0"/>
        <v>4.684684376152758E-3</v>
      </c>
      <c r="F13" s="83"/>
      <c r="G13" s="79"/>
      <c r="H13" s="83"/>
      <c r="I13" s="76"/>
      <c r="J13" s="5"/>
      <c r="K13" s="5"/>
      <c r="L13" s="5"/>
    </row>
    <row r="14" spans="2:12" ht="15.75" customHeight="1" x14ac:dyDescent="0.25">
      <c r="B14" s="96" t="s">
        <v>86</v>
      </c>
      <c r="C14" s="66">
        <v>6197</v>
      </c>
      <c r="D14" s="67">
        <f t="shared" ref="D14:D15" si="1">(C14-$E$5)/$E$4</f>
        <v>30.926965862089244</v>
      </c>
      <c r="E14" s="85">
        <f>D14/10000</f>
        <v>3.0926965862089245E-3</v>
      </c>
      <c r="F14" s="83"/>
      <c r="G14" s="79"/>
      <c r="H14" s="83"/>
      <c r="I14" s="76"/>
      <c r="J14" s="5"/>
      <c r="K14" s="5"/>
      <c r="L14" s="5"/>
    </row>
    <row r="15" spans="2:12" ht="15.75" customHeight="1" x14ac:dyDescent="0.25">
      <c r="B15" s="96" t="s">
        <v>87</v>
      </c>
      <c r="C15" s="66">
        <v>5699</v>
      </c>
      <c r="D15" s="67">
        <f t="shared" si="1"/>
        <v>28.191251854525305</v>
      </c>
      <c r="E15" s="85">
        <f t="shared" si="0"/>
        <v>2.8191251854525305E-3</v>
      </c>
      <c r="F15" s="83"/>
      <c r="G15" s="79"/>
      <c r="H15" s="83"/>
      <c r="I15" s="76"/>
      <c r="J15" s="5"/>
      <c r="K15" s="5"/>
      <c r="L15" s="5"/>
    </row>
    <row r="16" spans="2:12" ht="15.75" customHeight="1" x14ac:dyDescent="0.25">
      <c r="B16" s="96" t="s">
        <v>62</v>
      </c>
      <c r="C16" s="66">
        <v>5032</v>
      </c>
      <c r="D16" s="67">
        <f>(C16-$E$5)/$E$4</f>
        <v>24.527152972908542</v>
      </c>
      <c r="E16" s="85">
        <f t="shared" si="0"/>
        <v>2.4527152972908541E-3</v>
      </c>
      <c r="F16" s="83"/>
      <c r="G16" s="79"/>
      <c r="H16" s="83"/>
      <c r="I16" s="76"/>
      <c r="J16" s="5"/>
      <c r="K16" s="5"/>
      <c r="L16" s="5"/>
    </row>
    <row r="17" spans="2:12" ht="15.75" customHeight="1" x14ac:dyDescent="0.25">
      <c r="B17" s="106"/>
      <c r="C17" s="105"/>
      <c r="D17" s="67"/>
      <c r="E17" s="103"/>
      <c r="F17" s="83"/>
      <c r="G17" s="79"/>
      <c r="H17" s="83"/>
      <c r="I17" s="76"/>
      <c r="J17" s="5"/>
      <c r="K17" s="5"/>
      <c r="L17" s="5"/>
    </row>
    <row r="18" spans="2:12" s="95" customFormat="1" ht="15.75" x14ac:dyDescent="0.25">
      <c r="B18" s="97" t="s">
        <v>47</v>
      </c>
      <c r="C18" s="88"/>
      <c r="D18" s="89">
        <f>SUM(D12:D16)</f>
        <v>204.78409271416348</v>
      </c>
      <c r="E18" s="68">
        <f>D18/10000</f>
        <v>2.0478409271416347E-2</v>
      </c>
      <c r="F18" s="90"/>
      <c r="G18" s="91"/>
      <c r="H18" s="84"/>
      <c r="I18" s="92"/>
      <c r="J18" s="93"/>
      <c r="K18" s="93"/>
      <c r="L18" s="94"/>
    </row>
    <row r="19" spans="2:12" s="95" customFormat="1" ht="15.75" x14ac:dyDescent="0.25">
      <c r="B19" s="97" t="s">
        <v>44</v>
      </c>
      <c r="C19" s="88"/>
      <c r="D19" s="89">
        <f>D18+D10+D11</f>
        <v>370.76605823484198</v>
      </c>
      <c r="E19" s="68">
        <f>D19/10000</f>
        <v>3.7076605823484196E-2</v>
      </c>
      <c r="F19" s="90"/>
      <c r="G19" s="91"/>
      <c r="H19" s="84"/>
      <c r="I19" s="92"/>
      <c r="J19" s="93"/>
      <c r="K19" s="93"/>
      <c r="L19" s="94"/>
    </row>
    <row r="20" spans="2:12" ht="16.5" thickBot="1" x14ac:dyDescent="0.3">
      <c r="B20" s="98" t="s">
        <v>49</v>
      </c>
      <c r="C20" s="134"/>
      <c r="D20" s="135"/>
      <c r="E20" s="99">
        <f>100-E19</f>
        <v>99.962923394176514</v>
      </c>
      <c r="F20" s="78"/>
      <c r="G20" s="100"/>
      <c r="H20" s="87"/>
      <c r="I20" s="101"/>
      <c r="J20" s="5"/>
      <c r="K20" s="5"/>
      <c r="L20" s="3"/>
    </row>
    <row r="27" spans="2:12" x14ac:dyDescent="0.25">
      <c r="D27" s="86"/>
    </row>
  </sheetData>
  <mergeCells count="2">
    <mergeCell ref="J7:L7"/>
    <mergeCell ref="C20:D20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7E8B7-59C2-4186-A504-CF1EB199B15F}">
  <sheetPr>
    <pageSetUpPr fitToPage="1"/>
  </sheetPr>
  <dimension ref="B2:L33"/>
  <sheetViews>
    <sheetView zoomScaleNormal="100" zoomScaleSheetLayoutView="100" workbookViewId="0">
      <pane xSplit="2" topLeftCell="C1" activePane="topRight" state="frozen"/>
      <selection pane="topRight" activeCell="E26" sqref="E26"/>
    </sheetView>
  </sheetViews>
  <sheetFormatPr defaultRowHeight="15" x14ac:dyDescent="0.25"/>
  <cols>
    <col min="2" max="2" width="27" bestFit="1" customWidth="1"/>
    <col min="3" max="3" width="37.7109375" customWidth="1"/>
    <col min="4" max="7" width="26.140625" bestFit="1" customWidth="1"/>
    <col min="8" max="8" width="26.140625" customWidth="1"/>
    <col min="9" max="9" width="9.85546875" customWidth="1"/>
    <col min="10" max="10" width="16.140625" bestFit="1" customWidth="1"/>
    <col min="12" max="12" width="14.140625" bestFit="1" customWidth="1"/>
    <col min="13" max="13" width="16.140625" bestFit="1" customWidth="1"/>
  </cols>
  <sheetData>
    <row r="2" spans="2:12" ht="15.75" thickBot="1" x14ac:dyDescent="0.3"/>
    <row r="3" spans="2:12" ht="15.75" x14ac:dyDescent="0.25">
      <c r="B3" s="69" t="s">
        <v>48</v>
      </c>
      <c r="C3" s="70" t="str">
        <f>'26-12-2025'!F115</f>
        <v>TABA</v>
      </c>
      <c r="D3" s="70" t="str">
        <f>'26-12-2025'!G115</f>
        <v>4,4-DABA</v>
      </c>
      <c r="E3" s="70" t="str">
        <f>'26-12-2025'!H115</f>
        <v>DAPBI</v>
      </c>
      <c r="F3" s="70" t="str">
        <f>'26-12-2025'!I115</f>
        <v>2-AP 4-AB</v>
      </c>
      <c r="G3" s="70" t="str">
        <f>'26-12-2025'!J115</f>
        <v>2, 4-DAPBA</v>
      </c>
      <c r="H3" s="70" t="str">
        <f>'26-12-2025'!K115</f>
        <v>PABI</v>
      </c>
      <c r="I3" s="71" t="str">
        <f>'26-12-2025'!L115</f>
        <v>4-BIA</v>
      </c>
    </row>
    <row r="4" spans="2:12" ht="15.75" x14ac:dyDescent="0.25">
      <c r="B4" s="72" t="s">
        <v>35</v>
      </c>
      <c r="C4" s="73">
        <f>'26-12-2025'!F116</f>
        <v>129.01895579872601</v>
      </c>
      <c r="D4" s="73">
        <f>'26-12-2025'!G116</f>
        <v>196.34036338765256</v>
      </c>
      <c r="E4" s="73">
        <f>'26-12-2025'!H116</f>
        <v>182.03657203314623</v>
      </c>
      <c r="F4" s="73">
        <f>'26-12-2025'!I116</f>
        <v>119.09698199043395</v>
      </c>
      <c r="G4" s="73">
        <f>'26-12-2025'!J116</f>
        <v>27.05583577600661</v>
      </c>
      <c r="H4" s="73">
        <f>'26-12-2025'!K116</f>
        <v>138.09959207891418</v>
      </c>
      <c r="I4" s="74">
        <f>'26-12-2025'!L116</f>
        <v>348.99923394264562</v>
      </c>
    </row>
    <row r="5" spans="2:12" ht="16.5" customHeight="1" x14ac:dyDescent="0.25">
      <c r="B5" s="72" t="s">
        <v>45</v>
      </c>
      <c r="C5" s="73">
        <f>'26-12-2025'!F117</f>
        <v>468.09928057553952</v>
      </c>
      <c r="D5" s="73">
        <f>'26-12-2025'!G117</f>
        <v>692.27985611510667</v>
      </c>
      <c r="E5" s="73">
        <f>'26-12-2025'!H117</f>
        <v>567.1611510791372</v>
      </c>
      <c r="F5" s="73">
        <f>'26-12-2025'!I117</f>
        <v>456.35827338129275</v>
      </c>
      <c r="G5" s="73">
        <f>'26-12-2025'!J117</f>
        <v>106.36834532374087</v>
      </c>
      <c r="H5" s="73">
        <f>'26-12-2025'!K117</f>
        <v>-70.482733812948936</v>
      </c>
      <c r="I5" s="74">
        <f>'26-12-2025'!L117</f>
        <v>-24.817266187048517</v>
      </c>
    </row>
    <row r="6" spans="2:12" ht="15.75" x14ac:dyDescent="0.25">
      <c r="B6" s="75"/>
      <c r="C6" s="79"/>
      <c r="D6" s="79"/>
      <c r="E6" s="79"/>
      <c r="F6" s="79"/>
      <c r="G6" s="79"/>
      <c r="H6" s="79"/>
      <c r="I6" s="76"/>
    </row>
    <row r="7" spans="2:12" ht="15.75" x14ac:dyDescent="0.25">
      <c r="B7" s="80">
        <v>46017</v>
      </c>
      <c r="C7" s="64"/>
      <c r="D7" s="64"/>
      <c r="E7" s="64"/>
      <c r="F7" s="79"/>
      <c r="G7" s="79"/>
      <c r="H7" s="79"/>
      <c r="I7" s="76"/>
      <c r="J7" s="115"/>
      <c r="K7" s="115"/>
      <c r="L7" s="115"/>
    </row>
    <row r="8" spans="2:12" ht="15.75" x14ac:dyDescent="0.25">
      <c r="B8" s="81" t="s">
        <v>52</v>
      </c>
      <c r="C8" s="104" t="s">
        <v>89</v>
      </c>
      <c r="D8" s="63" t="s">
        <v>53</v>
      </c>
      <c r="E8" s="63" t="s">
        <v>111</v>
      </c>
      <c r="F8" s="82"/>
      <c r="G8" s="79"/>
      <c r="H8" s="82"/>
      <c r="I8" s="76"/>
      <c r="J8" s="5"/>
      <c r="K8" s="5"/>
      <c r="L8" s="5"/>
    </row>
    <row r="9" spans="2:12" ht="15.75" x14ac:dyDescent="0.25">
      <c r="B9" s="96"/>
      <c r="C9" s="65" t="s">
        <v>50</v>
      </c>
      <c r="D9" s="65" t="s">
        <v>46</v>
      </c>
      <c r="E9" s="65" t="s">
        <v>51</v>
      </c>
      <c r="F9" s="79"/>
      <c r="G9" s="79"/>
      <c r="H9" s="79"/>
      <c r="I9" s="77"/>
      <c r="J9" s="5"/>
      <c r="K9" s="5"/>
      <c r="L9" s="5"/>
    </row>
    <row r="10" spans="2:12" ht="15.75" customHeight="1" x14ac:dyDescent="0.25">
      <c r="B10" s="96" t="s">
        <v>32</v>
      </c>
      <c r="C10" s="66">
        <v>31945</v>
      </c>
      <c r="D10" s="67">
        <f>(C10-$H$5)/$H$4</f>
        <v>231.82894497992692</v>
      </c>
      <c r="E10" s="85">
        <f>D10/10000</f>
        <v>2.3182894497992691E-2</v>
      </c>
      <c r="F10" s="83"/>
      <c r="G10" s="79"/>
      <c r="H10" s="83"/>
      <c r="I10" s="76"/>
      <c r="J10" s="5"/>
      <c r="K10" s="5"/>
      <c r="L10" s="5"/>
    </row>
    <row r="11" spans="2:12" ht="15.75" customHeight="1" x14ac:dyDescent="0.25">
      <c r="B11" s="96" t="s">
        <v>33</v>
      </c>
      <c r="C11" s="66">
        <v>12670</v>
      </c>
      <c r="D11" s="67">
        <f>(C11-$I$5)/$I$4</f>
        <v>36.374914416784392</v>
      </c>
      <c r="E11" s="85">
        <f t="shared" ref="E11:E22" si="0">D11/10000</f>
        <v>3.6374914416784391E-3</v>
      </c>
      <c r="F11" s="83"/>
      <c r="G11" s="79"/>
      <c r="H11" s="83"/>
      <c r="I11" s="76"/>
      <c r="J11" s="5"/>
      <c r="K11" s="5"/>
      <c r="L11" s="5"/>
    </row>
    <row r="12" spans="2:12" ht="15.75" customHeight="1" x14ac:dyDescent="0.25">
      <c r="B12" s="96" t="s">
        <v>90</v>
      </c>
      <c r="C12" s="66">
        <v>99550</v>
      </c>
      <c r="D12" s="67">
        <f>(C12-$E$5)/$E$4</f>
        <v>543.75248744465216</v>
      </c>
      <c r="E12" s="85">
        <f t="shared" si="0"/>
        <v>5.4375248744465213E-2</v>
      </c>
      <c r="F12" s="83"/>
      <c r="G12" s="79"/>
      <c r="H12" s="83"/>
      <c r="I12" s="76"/>
      <c r="J12" s="5"/>
      <c r="K12" s="5"/>
      <c r="L12" s="5"/>
    </row>
    <row r="13" spans="2:12" ht="15.75" customHeight="1" x14ac:dyDescent="0.25">
      <c r="B13" s="96" t="s">
        <v>91</v>
      </c>
      <c r="C13" s="66">
        <v>9397</v>
      </c>
      <c r="D13" s="67">
        <f>(C13-$E$5)/$E$4</f>
        <v>48.505851051255114</v>
      </c>
      <c r="E13" s="85">
        <f t="shared" si="0"/>
        <v>4.8505851051255117E-3</v>
      </c>
      <c r="F13" s="83"/>
      <c r="G13" s="79"/>
      <c r="H13" s="83"/>
      <c r="I13" s="76"/>
      <c r="J13" s="5"/>
      <c r="K13" s="5"/>
      <c r="L13" s="5"/>
    </row>
    <row r="14" spans="2:12" ht="15.75" customHeight="1" x14ac:dyDescent="0.25">
      <c r="B14" s="96" t="s">
        <v>92</v>
      </c>
      <c r="C14" s="66">
        <v>10325</v>
      </c>
      <c r="D14" s="67">
        <f t="shared" ref="D14:D21" si="1">(C14-$E$5)/$E$4</f>
        <v>53.603727756113216</v>
      </c>
      <c r="E14" s="85">
        <f>D14/10000</f>
        <v>5.3603727756113212E-3</v>
      </c>
      <c r="F14" s="83"/>
      <c r="G14" s="79"/>
      <c r="H14" s="83"/>
      <c r="I14" s="76"/>
      <c r="J14" s="5"/>
      <c r="K14" s="5"/>
      <c r="L14" s="5"/>
    </row>
    <row r="15" spans="2:12" ht="15.75" customHeight="1" x14ac:dyDescent="0.25">
      <c r="B15" s="96" t="s">
        <v>93</v>
      </c>
      <c r="C15" s="66">
        <v>7679</v>
      </c>
      <c r="D15" s="67">
        <f t="shared" si="1"/>
        <v>39.068187065321688</v>
      </c>
      <c r="E15" s="85">
        <f t="shared" si="0"/>
        <v>3.906818706532169E-3</v>
      </c>
      <c r="F15" s="83"/>
      <c r="G15" s="79"/>
      <c r="H15" s="83"/>
      <c r="I15" s="76"/>
      <c r="J15" s="5"/>
      <c r="K15" s="5"/>
      <c r="L15" s="5"/>
    </row>
    <row r="16" spans="2:12" ht="15.75" customHeight="1" x14ac:dyDescent="0.25">
      <c r="B16" s="96" t="s">
        <v>94</v>
      </c>
      <c r="C16" s="66">
        <v>26215</v>
      </c>
      <c r="D16" s="67">
        <f t="shared" si="1"/>
        <v>140.89387952356498</v>
      </c>
      <c r="E16" s="85">
        <f t="shared" si="0"/>
        <v>1.4089387952356498E-2</v>
      </c>
      <c r="F16" s="83"/>
      <c r="G16" s="79"/>
      <c r="H16" s="83"/>
      <c r="I16" s="76"/>
      <c r="J16" s="5"/>
      <c r="K16" s="5"/>
      <c r="L16" s="5"/>
    </row>
    <row r="17" spans="2:12" ht="15.75" customHeight="1" x14ac:dyDescent="0.25">
      <c r="B17" s="96" t="s">
        <v>60</v>
      </c>
      <c r="C17" s="66">
        <v>33570</v>
      </c>
      <c r="D17" s="67">
        <f t="shared" si="1"/>
        <v>181.2978484505384</v>
      </c>
      <c r="E17" s="85">
        <f t="shared" si="0"/>
        <v>1.8129784845053839E-2</v>
      </c>
      <c r="F17" s="83"/>
      <c r="G17" s="79"/>
      <c r="H17" s="83"/>
      <c r="I17" s="76"/>
      <c r="J17" s="5"/>
      <c r="K17" s="5"/>
      <c r="L17" s="5"/>
    </row>
    <row r="18" spans="2:12" ht="15.75" customHeight="1" x14ac:dyDescent="0.25">
      <c r="B18" s="96" t="s">
        <v>95</v>
      </c>
      <c r="C18" s="66">
        <v>9944</v>
      </c>
      <c r="D18" s="67">
        <f t="shared" si="1"/>
        <v>51.510741738278149</v>
      </c>
      <c r="E18" s="85">
        <f t="shared" si="0"/>
        <v>5.1510741738278153E-3</v>
      </c>
      <c r="F18" s="83"/>
      <c r="G18" s="79"/>
      <c r="H18" s="83"/>
      <c r="I18" s="76"/>
      <c r="J18" s="5"/>
      <c r="K18" s="5"/>
      <c r="L18" s="5"/>
    </row>
    <row r="19" spans="2:12" ht="15.75" customHeight="1" x14ac:dyDescent="0.25">
      <c r="B19" s="96" t="s">
        <v>96</v>
      </c>
      <c r="C19" s="66">
        <v>7369</v>
      </c>
      <c r="D19" s="67">
        <f t="shared" si="1"/>
        <v>37.365232562621244</v>
      </c>
      <c r="E19" s="85">
        <f t="shared" si="0"/>
        <v>3.7365232562621246E-3</v>
      </c>
      <c r="F19" s="83"/>
      <c r="G19" s="79"/>
      <c r="H19" s="83"/>
      <c r="I19" s="76"/>
      <c r="J19" s="5"/>
      <c r="K19" s="5"/>
      <c r="L19" s="5"/>
    </row>
    <row r="20" spans="2:12" ht="15.75" customHeight="1" x14ac:dyDescent="0.25">
      <c r="B20" s="96" t="s">
        <v>97</v>
      </c>
      <c r="C20" s="66">
        <v>5281</v>
      </c>
      <c r="D20" s="67">
        <f t="shared" si="1"/>
        <v>25.895009976690513</v>
      </c>
      <c r="E20" s="85">
        <f t="shared" si="0"/>
        <v>2.5895009976690513E-3</v>
      </c>
      <c r="F20" s="83"/>
      <c r="G20" s="79"/>
      <c r="H20" s="83"/>
      <c r="I20" s="76"/>
      <c r="J20" s="5"/>
      <c r="K20" s="5"/>
      <c r="L20" s="5"/>
    </row>
    <row r="21" spans="2:12" ht="15.75" customHeight="1" x14ac:dyDescent="0.25">
      <c r="B21" s="96" t="s">
        <v>98</v>
      </c>
      <c r="C21" s="66">
        <v>7012</v>
      </c>
      <c r="D21" s="67">
        <f t="shared" si="1"/>
        <v>35.404088183704928</v>
      </c>
      <c r="E21" s="85">
        <f t="shared" si="0"/>
        <v>3.540408818370493E-3</v>
      </c>
      <c r="F21" s="83"/>
      <c r="G21" s="79"/>
      <c r="H21" s="83"/>
      <c r="I21" s="76"/>
      <c r="J21" s="5"/>
      <c r="K21" s="5"/>
      <c r="L21" s="5"/>
    </row>
    <row r="22" spans="2:12" ht="15.75" customHeight="1" x14ac:dyDescent="0.25">
      <c r="B22" s="96" t="s">
        <v>99</v>
      </c>
      <c r="C22" s="66">
        <v>27878</v>
      </c>
      <c r="D22" s="67">
        <f>(C22-$E$5)/$E$4</f>
        <v>150.02940642030961</v>
      </c>
      <c r="E22" s="85">
        <f t="shared" si="0"/>
        <v>1.5002940642030961E-2</v>
      </c>
      <c r="F22" s="83"/>
      <c r="G22" s="79"/>
      <c r="H22" s="83"/>
      <c r="I22" s="76"/>
      <c r="J22" s="5"/>
      <c r="K22" s="5"/>
      <c r="L22" s="5"/>
    </row>
    <row r="23" spans="2:12" ht="15.75" customHeight="1" x14ac:dyDescent="0.25">
      <c r="B23" s="106"/>
      <c r="C23" s="105"/>
      <c r="D23" s="67"/>
      <c r="E23" s="103"/>
      <c r="F23" s="83"/>
      <c r="G23" s="79"/>
      <c r="H23" s="83"/>
      <c r="I23" s="76"/>
      <c r="J23" s="5"/>
      <c r="K23" s="5"/>
      <c r="L23" s="5"/>
    </row>
    <row r="24" spans="2:12" s="95" customFormat="1" ht="15.75" x14ac:dyDescent="0.25">
      <c r="B24" s="97" t="s">
        <v>47</v>
      </c>
      <c r="C24" s="88"/>
      <c r="D24" s="89">
        <f>SUM(D12:D22)</f>
        <v>1307.32646017305</v>
      </c>
      <c r="E24" s="68">
        <f>D24/10000</f>
        <v>0.130732646017305</v>
      </c>
      <c r="F24" s="90"/>
      <c r="G24" s="91"/>
      <c r="H24" s="84"/>
      <c r="I24" s="92"/>
      <c r="J24" s="93"/>
      <c r="K24" s="93"/>
      <c r="L24" s="94"/>
    </row>
    <row r="25" spans="2:12" s="95" customFormat="1" ht="15.75" x14ac:dyDescent="0.25">
      <c r="B25" s="97" t="s">
        <v>44</v>
      </c>
      <c r="C25" s="88"/>
      <c r="D25" s="89">
        <f>D24+D10+D11</f>
        <v>1575.5303195697613</v>
      </c>
      <c r="E25" s="68">
        <f>D25/10000</f>
        <v>0.15755303195697612</v>
      </c>
      <c r="F25" s="90"/>
      <c r="G25" s="91"/>
      <c r="H25" s="84"/>
      <c r="I25" s="92"/>
      <c r="J25" s="93"/>
      <c r="K25" s="93"/>
      <c r="L25" s="94"/>
    </row>
    <row r="26" spans="2:12" ht="16.5" thickBot="1" x14ac:dyDescent="0.3">
      <c r="B26" s="98" t="s">
        <v>49</v>
      </c>
      <c r="C26" s="134"/>
      <c r="D26" s="135"/>
      <c r="E26" s="99">
        <f>100-E25</f>
        <v>99.842446968043021</v>
      </c>
      <c r="F26" s="78"/>
      <c r="G26" s="100"/>
      <c r="H26" s="87"/>
      <c r="I26" s="101"/>
      <c r="J26" s="5"/>
      <c r="K26" s="5"/>
      <c r="L26" s="3"/>
    </row>
    <row r="33" spans="4:4" x14ac:dyDescent="0.25">
      <c r="D33" s="86"/>
    </row>
  </sheetData>
  <mergeCells count="2">
    <mergeCell ref="J7:L7"/>
    <mergeCell ref="C26:D26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835D3-9BA7-49A3-A1D4-3EE3F791F8DD}">
  <sheetPr>
    <pageSetUpPr fitToPage="1"/>
  </sheetPr>
  <dimension ref="B2:L33"/>
  <sheetViews>
    <sheetView zoomScaleNormal="100" zoomScaleSheetLayoutView="100" workbookViewId="0">
      <pane xSplit="2" topLeftCell="C1" activePane="topRight" state="frozen"/>
      <selection pane="topRight" activeCell="E8" sqref="E8"/>
    </sheetView>
  </sheetViews>
  <sheetFormatPr defaultRowHeight="15" x14ac:dyDescent="0.25"/>
  <cols>
    <col min="2" max="2" width="27" bestFit="1" customWidth="1"/>
    <col min="3" max="3" width="37.7109375" customWidth="1"/>
    <col min="4" max="7" width="26.140625" bestFit="1" customWidth="1"/>
    <col min="8" max="8" width="26.140625" customWidth="1"/>
    <col min="9" max="9" width="9.85546875" customWidth="1"/>
    <col min="10" max="10" width="16.140625" bestFit="1" customWidth="1"/>
    <col min="12" max="12" width="14.140625" bestFit="1" customWidth="1"/>
    <col min="13" max="13" width="16.140625" bestFit="1" customWidth="1"/>
  </cols>
  <sheetData>
    <row r="2" spans="2:12" ht="15.75" thickBot="1" x14ac:dyDescent="0.3"/>
    <row r="3" spans="2:12" ht="15.75" x14ac:dyDescent="0.25">
      <c r="B3" s="69" t="s">
        <v>48</v>
      </c>
      <c r="C3" s="70" t="str">
        <f>'26-12-2025'!F115</f>
        <v>TABA</v>
      </c>
      <c r="D3" s="70" t="str">
        <f>'26-12-2025'!G115</f>
        <v>4,4-DABA</v>
      </c>
      <c r="E3" s="70" t="str">
        <f>'26-12-2025'!H115</f>
        <v>DAPBI</v>
      </c>
      <c r="F3" s="70" t="str">
        <f>'26-12-2025'!I115</f>
        <v>2-AP 4-AB</v>
      </c>
      <c r="G3" s="70" t="str">
        <f>'26-12-2025'!J115</f>
        <v>2, 4-DAPBA</v>
      </c>
      <c r="H3" s="70" t="str">
        <f>'26-12-2025'!K115</f>
        <v>PABI</v>
      </c>
      <c r="I3" s="71" t="str">
        <f>'26-12-2025'!L115</f>
        <v>4-BIA</v>
      </c>
    </row>
    <row r="4" spans="2:12" ht="15.75" x14ac:dyDescent="0.25">
      <c r="B4" s="72" t="s">
        <v>35</v>
      </c>
      <c r="C4" s="73">
        <f>'26-12-2025'!F116</f>
        <v>129.01895579872601</v>
      </c>
      <c r="D4" s="73">
        <f>'26-12-2025'!G116</f>
        <v>196.34036338765256</v>
      </c>
      <c r="E4" s="73">
        <f>'26-12-2025'!H116</f>
        <v>182.03657203314623</v>
      </c>
      <c r="F4" s="73">
        <f>'26-12-2025'!I116</f>
        <v>119.09698199043395</v>
      </c>
      <c r="G4" s="73">
        <f>'26-12-2025'!J116</f>
        <v>27.05583577600661</v>
      </c>
      <c r="H4" s="73">
        <f>'26-12-2025'!K116</f>
        <v>138.09959207891418</v>
      </c>
      <c r="I4" s="74">
        <f>'26-12-2025'!L116</f>
        <v>348.99923394264562</v>
      </c>
    </row>
    <row r="5" spans="2:12" ht="16.5" customHeight="1" x14ac:dyDescent="0.25">
      <c r="B5" s="72" t="s">
        <v>45</v>
      </c>
      <c r="C5" s="73">
        <f>'26-12-2025'!F117</f>
        <v>468.09928057553952</v>
      </c>
      <c r="D5" s="73">
        <f>'26-12-2025'!G117</f>
        <v>692.27985611510667</v>
      </c>
      <c r="E5" s="73">
        <f>'26-12-2025'!H117</f>
        <v>567.1611510791372</v>
      </c>
      <c r="F5" s="73">
        <f>'26-12-2025'!I117</f>
        <v>456.35827338129275</v>
      </c>
      <c r="G5" s="73">
        <f>'26-12-2025'!J117</f>
        <v>106.36834532374087</v>
      </c>
      <c r="H5" s="73">
        <f>'26-12-2025'!K117</f>
        <v>-70.482733812948936</v>
      </c>
      <c r="I5" s="74">
        <f>'26-12-2025'!L117</f>
        <v>-24.817266187048517</v>
      </c>
    </row>
    <row r="6" spans="2:12" ht="15.75" x14ac:dyDescent="0.25">
      <c r="B6" s="75"/>
      <c r="C6" s="79"/>
      <c r="D6" s="79"/>
      <c r="E6" s="79"/>
      <c r="F6" s="79"/>
      <c r="G6" s="79"/>
      <c r="H6" s="79"/>
      <c r="I6" s="76"/>
    </row>
    <row r="7" spans="2:12" ht="15.75" x14ac:dyDescent="0.25">
      <c r="B7" s="80">
        <v>46017</v>
      </c>
      <c r="C7" s="64"/>
      <c r="D7" s="64"/>
      <c r="E7" s="64"/>
      <c r="F7" s="79"/>
      <c r="G7" s="79"/>
      <c r="H7" s="79"/>
      <c r="I7" s="76"/>
      <c r="J7" s="115"/>
      <c r="K7" s="115"/>
      <c r="L7" s="115"/>
    </row>
    <row r="8" spans="2:12" ht="15.75" x14ac:dyDescent="0.25">
      <c r="B8" s="81" t="s">
        <v>52</v>
      </c>
      <c r="C8" s="104" t="s">
        <v>100</v>
      </c>
      <c r="D8" s="63" t="s">
        <v>53</v>
      </c>
      <c r="E8" s="63" t="s">
        <v>112</v>
      </c>
      <c r="F8" s="82"/>
      <c r="G8" s="79"/>
      <c r="H8" s="82"/>
      <c r="I8" s="76"/>
      <c r="J8" s="5"/>
      <c r="K8" s="5"/>
      <c r="L8" s="5"/>
    </row>
    <row r="9" spans="2:12" ht="15.75" x14ac:dyDescent="0.25">
      <c r="B9" s="96"/>
      <c r="C9" s="65" t="s">
        <v>50</v>
      </c>
      <c r="D9" s="65" t="s">
        <v>46</v>
      </c>
      <c r="E9" s="65" t="s">
        <v>51</v>
      </c>
      <c r="F9" s="79"/>
      <c r="G9" s="79"/>
      <c r="H9" s="79"/>
      <c r="I9" s="77"/>
      <c r="J9" s="5"/>
      <c r="K9" s="5"/>
      <c r="L9" s="5"/>
    </row>
    <row r="10" spans="2:12" ht="15.75" customHeight="1" x14ac:dyDescent="0.25">
      <c r="B10" s="96" t="s">
        <v>32</v>
      </c>
      <c r="C10" s="66">
        <v>21732</v>
      </c>
      <c r="D10" s="67">
        <f>(C10-$H$5)/$H$4</f>
        <v>157.87506976381482</v>
      </c>
      <c r="E10" s="85">
        <f>D10/10000</f>
        <v>1.5787506976381482E-2</v>
      </c>
      <c r="F10" s="83"/>
      <c r="G10" s="79"/>
      <c r="H10" s="83"/>
      <c r="I10" s="76"/>
      <c r="J10" s="5"/>
      <c r="K10" s="5"/>
      <c r="L10" s="5"/>
    </row>
    <row r="11" spans="2:12" ht="15.75" customHeight="1" x14ac:dyDescent="0.25">
      <c r="B11" s="96" t="s">
        <v>33</v>
      </c>
      <c r="C11" s="66">
        <v>15967</v>
      </c>
      <c r="D11" s="67">
        <f>(C11-$I$5)/$I$4</f>
        <v>45.821926557051228</v>
      </c>
      <c r="E11" s="85">
        <f t="shared" ref="E11:E22" si="0">D11/10000</f>
        <v>4.5821926557051227E-3</v>
      </c>
      <c r="F11" s="83"/>
      <c r="G11" s="79"/>
      <c r="H11" s="83"/>
      <c r="I11" s="76"/>
      <c r="J11" s="5"/>
      <c r="K11" s="5"/>
      <c r="L11" s="5"/>
    </row>
    <row r="12" spans="2:12" ht="15.75" customHeight="1" x14ac:dyDescent="0.25">
      <c r="B12" s="96" t="s">
        <v>101</v>
      </c>
      <c r="C12" s="66">
        <v>4700</v>
      </c>
      <c r="D12" s="67">
        <f>(C12-$E$5)/$E$4</f>
        <v>22.703343634532583</v>
      </c>
      <c r="E12" s="85">
        <f t="shared" si="0"/>
        <v>2.2703343634532585E-3</v>
      </c>
      <c r="F12" s="83"/>
      <c r="G12" s="79"/>
      <c r="H12" s="83"/>
      <c r="I12" s="76"/>
      <c r="J12" s="5"/>
      <c r="K12" s="5"/>
      <c r="L12" s="5"/>
    </row>
    <row r="13" spans="2:12" ht="15.75" customHeight="1" x14ac:dyDescent="0.25">
      <c r="B13" s="96" t="s">
        <v>88</v>
      </c>
      <c r="C13" s="66">
        <v>6189</v>
      </c>
      <c r="D13" s="67">
        <f>(C13-$E$5)/$E$4</f>
        <v>30.883018649116327</v>
      </c>
      <c r="E13" s="85">
        <f t="shared" si="0"/>
        <v>3.0883018649116327E-3</v>
      </c>
      <c r="F13" s="83"/>
      <c r="G13" s="79"/>
      <c r="H13" s="83"/>
      <c r="I13" s="76"/>
      <c r="J13" s="5"/>
      <c r="K13" s="5"/>
      <c r="L13" s="5"/>
    </row>
    <row r="14" spans="2:12" ht="15.75" customHeight="1" x14ac:dyDescent="0.25">
      <c r="B14" s="96" t="s">
        <v>92</v>
      </c>
      <c r="C14" s="66">
        <v>3800</v>
      </c>
      <c r="D14" s="67">
        <f t="shared" ref="D14:D21" si="1">(C14-$E$5)/$E$4</f>
        <v>17.759282175079683</v>
      </c>
      <c r="E14" s="85">
        <f>D14/10000</f>
        <v>1.7759282175079682E-3</v>
      </c>
      <c r="F14" s="83"/>
      <c r="G14" s="79"/>
      <c r="H14" s="83"/>
      <c r="I14" s="76"/>
      <c r="J14" s="5"/>
      <c r="K14" s="5"/>
      <c r="L14" s="5"/>
    </row>
    <row r="15" spans="2:12" ht="15.75" customHeight="1" x14ac:dyDescent="0.25">
      <c r="B15" s="96" t="s">
        <v>60</v>
      </c>
      <c r="C15" s="66">
        <v>111620</v>
      </c>
      <c r="D15" s="67">
        <f t="shared" si="1"/>
        <v>610.05784501753715</v>
      </c>
      <c r="E15" s="85">
        <f t="shared" si="0"/>
        <v>6.1005784501753715E-2</v>
      </c>
      <c r="F15" s="83"/>
      <c r="G15" s="79"/>
      <c r="H15" s="83"/>
      <c r="I15" s="76"/>
      <c r="J15" s="5"/>
      <c r="K15" s="5"/>
      <c r="L15" s="5"/>
    </row>
    <row r="16" spans="2:12" ht="15.75" customHeight="1" x14ac:dyDescent="0.25">
      <c r="B16" s="96" t="s">
        <v>102</v>
      </c>
      <c r="C16" s="66">
        <v>10554</v>
      </c>
      <c r="D16" s="67">
        <f t="shared" si="1"/>
        <v>54.861716727462898</v>
      </c>
      <c r="E16" s="85">
        <f t="shared" si="0"/>
        <v>5.4861716727462899E-3</v>
      </c>
      <c r="F16" s="83"/>
      <c r="G16" s="79"/>
      <c r="H16" s="83"/>
      <c r="I16" s="76"/>
      <c r="J16" s="5"/>
      <c r="K16" s="5"/>
      <c r="L16" s="5"/>
    </row>
    <row r="17" spans="2:12" ht="15.75" customHeight="1" x14ac:dyDescent="0.25">
      <c r="B17" s="96" t="s">
        <v>96</v>
      </c>
      <c r="C17" s="66">
        <v>11908</v>
      </c>
      <c r="D17" s="67">
        <f t="shared" si="1"/>
        <v>62.299782523128705</v>
      </c>
      <c r="E17" s="85">
        <f t="shared" si="0"/>
        <v>6.2299782523128708E-3</v>
      </c>
      <c r="F17" s="83"/>
      <c r="G17" s="79"/>
      <c r="H17" s="83"/>
      <c r="I17" s="76"/>
      <c r="J17" s="5"/>
      <c r="K17" s="5"/>
      <c r="L17" s="5"/>
    </row>
    <row r="18" spans="2:12" ht="15.75" customHeight="1" x14ac:dyDescent="0.25">
      <c r="B18" s="96" t="s">
        <v>103</v>
      </c>
      <c r="C18" s="66">
        <v>5014</v>
      </c>
      <c r="D18" s="67">
        <f t="shared" si="1"/>
        <v>24.428271743719485</v>
      </c>
      <c r="E18" s="85">
        <f t="shared" si="0"/>
        <v>2.4428271743719486E-3</v>
      </c>
      <c r="F18" s="83"/>
      <c r="G18" s="79"/>
      <c r="H18" s="83"/>
      <c r="I18" s="76"/>
      <c r="J18" s="5"/>
      <c r="K18" s="5"/>
      <c r="L18" s="5"/>
    </row>
    <row r="19" spans="2:12" ht="15.75" customHeight="1" x14ac:dyDescent="0.25">
      <c r="B19" s="96" t="s">
        <v>104</v>
      </c>
      <c r="C19" s="66">
        <v>3842</v>
      </c>
      <c r="D19" s="67">
        <f t="shared" si="1"/>
        <v>17.990005043187487</v>
      </c>
      <c r="E19" s="85">
        <f t="shared" si="0"/>
        <v>1.7990005043187487E-3</v>
      </c>
      <c r="F19" s="83"/>
      <c r="G19" s="79"/>
      <c r="H19" s="83"/>
      <c r="I19" s="76"/>
      <c r="J19" s="5"/>
      <c r="K19" s="5"/>
      <c r="L19" s="5"/>
    </row>
    <row r="20" spans="2:12" ht="15.75" customHeight="1" x14ac:dyDescent="0.25">
      <c r="B20" s="96" t="s">
        <v>62</v>
      </c>
      <c r="C20" s="66">
        <v>3917</v>
      </c>
      <c r="D20" s="67">
        <f t="shared" si="1"/>
        <v>18.402010164808562</v>
      </c>
      <c r="E20" s="85">
        <f t="shared" si="0"/>
        <v>1.8402010164808563E-3</v>
      </c>
      <c r="F20" s="83"/>
      <c r="G20" s="79"/>
      <c r="H20" s="83"/>
      <c r="I20" s="76"/>
      <c r="J20" s="5"/>
      <c r="K20" s="5"/>
      <c r="L20" s="5"/>
    </row>
    <row r="21" spans="2:12" ht="15.75" customHeight="1" x14ac:dyDescent="0.25">
      <c r="B21" s="96" t="s">
        <v>61</v>
      </c>
      <c r="C21" s="66">
        <v>7277</v>
      </c>
      <c r="D21" s="67">
        <f t="shared" si="1"/>
        <v>36.859839613432726</v>
      </c>
      <c r="E21" s="85">
        <f t="shared" si="0"/>
        <v>3.6859839613432727E-3</v>
      </c>
      <c r="F21" s="83"/>
      <c r="G21" s="79"/>
      <c r="H21" s="83"/>
      <c r="I21" s="76"/>
      <c r="J21" s="5"/>
      <c r="K21" s="5"/>
      <c r="L21" s="5"/>
    </row>
    <row r="22" spans="2:12" ht="15.75" customHeight="1" x14ac:dyDescent="0.25">
      <c r="B22" s="96" t="s">
        <v>105</v>
      </c>
      <c r="C22" s="66">
        <v>5690</v>
      </c>
      <c r="D22" s="67">
        <f>(C22-$E$5)/$E$4</f>
        <v>28.141811239930774</v>
      </c>
      <c r="E22" s="85">
        <f t="shared" si="0"/>
        <v>2.8141811239930773E-3</v>
      </c>
      <c r="F22" s="83"/>
      <c r="G22" s="79"/>
      <c r="H22" s="83"/>
      <c r="I22" s="76"/>
      <c r="J22" s="5"/>
      <c r="K22" s="5"/>
      <c r="L22" s="5"/>
    </row>
    <row r="23" spans="2:12" ht="15.75" customHeight="1" x14ac:dyDescent="0.25">
      <c r="B23" s="106"/>
      <c r="C23" s="105"/>
      <c r="D23" s="67"/>
      <c r="E23" s="103"/>
      <c r="F23" s="83"/>
      <c r="G23" s="79"/>
      <c r="H23" s="83"/>
      <c r="I23" s="76"/>
      <c r="J23" s="5"/>
      <c r="K23" s="5"/>
      <c r="L23" s="5"/>
    </row>
    <row r="24" spans="2:12" s="95" customFormat="1" ht="15.75" x14ac:dyDescent="0.25">
      <c r="B24" s="97" t="s">
        <v>47</v>
      </c>
      <c r="C24" s="88"/>
      <c r="D24" s="89">
        <f>SUM(D12:D22)</f>
        <v>924.38692653193641</v>
      </c>
      <c r="E24" s="68">
        <f>D24/10000</f>
        <v>9.2438692653193641E-2</v>
      </c>
      <c r="F24" s="90"/>
      <c r="G24" s="91"/>
      <c r="H24" s="84"/>
      <c r="I24" s="92"/>
      <c r="J24" s="93"/>
      <c r="K24" s="93"/>
      <c r="L24" s="94"/>
    </row>
    <row r="25" spans="2:12" s="95" customFormat="1" ht="15.75" x14ac:dyDescent="0.25">
      <c r="B25" s="97" t="s">
        <v>44</v>
      </c>
      <c r="C25" s="88"/>
      <c r="D25" s="89">
        <f>D24+D10+D11</f>
        <v>1128.0839228528025</v>
      </c>
      <c r="E25" s="68">
        <f>D25/10000</f>
        <v>0.11280839228528025</v>
      </c>
      <c r="F25" s="90"/>
      <c r="G25" s="91"/>
      <c r="H25" s="84"/>
      <c r="I25" s="92"/>
      <c r="J25" s="93"/>
      <c r="K25" s="93"/>
      <c r="L25" s="94"/>
    </row>
    <row r="26" spans="2:12" ht="16.5" thickBot="1" x14ac:dyDescent="0.3">
      <c r="B26" s="98" t="s">
        <v>49</v>
      </c>
      <c r="C26" s="134"/>
      <c r="D26" s="135"/>
      <c r="E26" s="99">
        <f>100-E25</f>
        <v>99.887191607714726</v>
      </c>
      <c r="F26" s="78"/>
      <c r="G26" s="100"/>
      <c r="H26" s="87"/>
      <c r="I26" s="101"/>
      <c r="J26" s="5"/>
      <c r="K26" s="5"/>
      <c r="L26" s="3"/>
    </row>
    <row r="33" spans="4:4" x14ac:dyDescent="0.25">
      <c r="D33" s="86"/>
    </row>
  </sheetData>
  <mergeCells count="2">
    <mergeCell ref="J7:L7"/>
    <mergeCell ref="C26:D2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B5A7D-D030-47BE-B8E9-3A3C89F0CD11}">
  <sheetPr>
    <pageSetUpPr fitToPage="1"/>
  </sheetPr>
  <dimension ref="B2:L25"/>
  <sheetViews>
    <sheetView zoomScaleNormal="100" zoomScaleSheetLayoutView="100" workbookViewId="0">
      <pane xSplit="2" topLeftCell="C1" activePane="topRight" state="frozen"/>
      <selection pane="topRight" activeCell="G9" sqref="G9"/>
    </sheetView>
  </sheetViews>
  <sheetFormatPr defaultRowHeight="15" x14ac:dyDescent="0.25"/>
  <cols>
    <col min="2" max="2" width="27" bestFit="1" customWidth="1"/>
    <col min="3" max="3" width="37.7109375" customWidth="1"/>
    <col min="4" max="7" width="26.140625" bestFit="1" customWidth="1"/>
    <col min="8" max="8" width="26.140625" customWidth="1"/>
    <col min="9" max="9" width="9.85546875" customWidth="1"/>
    <col min="10" max="10" width="16.140625" bestFit="1" customWidth="1"/>
    <col min="12" max="12" width="14.140625" bestFit="1" customWidth="1"/>
    <col min="13" max="13" width="16.140625" bestFit="1" customWidth="1"/>
  </cols>
  <sheetData>
    <row r="2" spans="2:12" ht="15.75" thickBot="1" x14ac:dyDescent="0.3"/>
    <row r="3" spans="2:12" ht="15.75" x14ac:dyDescent="0.25">
      <c r="B3" s="69" t="s">
        <v>48</v>
      </c>
      <c r="C3" s="70" t="str">
        <f>'26-12-2025'!F115</f>
        <v>TABA</v>
      </c>
      <c r="D3" s="70" t="str">
        <f>'26-12-2025'!G115</f>
        <v>4,4-DABA</v>
      </c>
      <c r="E3" s="70" t="str">
        <f>'26-12-2025'!H115</f>
        <v>DAPBI</v>
      </c>
      <c r="F3" s="70" t="str">
        <f>'26-12-2025'!I115</f>
        <v>2-AP 4-AB</v>
      </c>
      <c r="G3" s="70" t="str">
        <f>'26-12-2025'!J115</f>
        <v>2, 4-DAPBA</v>
      </c>
      <c r="H3" s="70" t="str">
        <f>'26-12-2025'!K115</f>
        <v>PABI</v>
      </c>
      <c r="I3" s="71" t="str">
        <f>'26-12-2025'!L115</f>
        <v>4-BIA</v>
      </c>
    </row>
    <row r="4" spans="2:12" ht="15.75" x14ac:dyDescent="0.25">
      <c r="B4" s="72" t="s">
        <v>35</v>
      </c>
      <c r="C4" s="73">
        <f>'26-12-2025'!F116</f>
        <v>129.01895579872601</v>
      </c>
      <c r="D4" s="73">
        <f>'26-12-2025'!G116</f>
        <v>196.34036338765256</v>
      </c>
      <c r="E4" s="73">
        <f>'26-12-2025'!H116</f>
        <v>182.03657203314623</v>
      </c>
      <c r="F4" s="73">
        <f>'26-12-2025'!I116</f>
        <v>119.09698199043395</v>
      </c>
      <c r="G4" s="73">
        <f>'26-12-2025'!J116</f>
        <v>27.05583577600661</v>
      </c>
      <c r="H4" s="73">
        <f>'26-12-2025'!K116</f>
        <v>138.09959207891418</v>
      </c>
      <c r="I4" s="74">
        <f>'26-12-2025'!L116</f>
        <v>348.99923394264562</v>
      </c>
    </row>
    <row r="5" spans="2:12" ht="16.5" customHeight="1" x14ac:dyDescent="0.25">
      <c r="B5" s="72" t="s">
        <v>45</v>
      </c>
      <c r="C5" s="73">
        <f>'26-12-2025'!F117</f>
        <v>468.09928057553952</v>
      </c>
      <c r="D5" s="73">
        <f>'26-12-2025'!G117</f>
        <v>692.27985611510667</v>
      </c>
      <c r="E5" s="73">
        <f>'26-12-2025'!H117</f>
        <v>567.1611510791372</v>
      </c>
      <c r="F5" s="73">
        <f>'26-12-2025'!I117</f>
        <v>456.35827338129275</v>
      </c>
      <c r="G5" s="73">
        <f>'26-12-2025'!J117</f>
        <v>106.36834532374087</v>
      </c>
      <c r="H5" s="73">
        <f>'26-12-2025'!K117</f>
        <v>-70.482733812948936</v>
      </c>
      <c r="I5" s="74">
        <f>'26-12-2025'!L117</f>
        <v>-24.817266187048517</v>
      </c>
    </row>
    <row r="6" spans="2:12" ht="15.75" x14ac:dyDescent="0.25">
      <c r="B6" s="75"/>
      <c r="C6" s="79"/>
      <c r="D6" s="79"/>
      <c r="E6" s="79"/>
      <c r="F6" s="79"/>
      <c r="G6" s="79"/>
      <c r="H6" s="79"/>
      <c r="I6" s="76"/>
    </row>
    <row r="7" spans="2:12" ht="15.75" x14ac:dyDescent="0.25">
      <c r="B7" s="80">
        <v>46017</v>
      </c>
      <c r="C7" s="64"/>
      <c r="D7" s="64"/>
      <c r="E7" s="64"/>
      <c r="F7" s="79"/>
      <c r="G7" s="79"/>
      <c r="H7" s="79"/>
      <c r="I7" s="76"/>
      <c r="J7" s="115"/>
      <c r="K7" s="115"/>
      <c r="L7" s="115"/>
    </row>
    <row r="8" spans="2:12" ht="15.75" x14ac:dyDescent="0.25">
      <c r="B8" s="81" t="s">
        <v>52</v>
      </c>
      <c r="C8" s="104" t="s">
        <v>114</v>
      </c>
      <c r="D8" s="63" t="s">
        <v>53</v>
      </c>
      <c r="E8" s="63" t="s">
        <v>113</v>
      </c>
      <c r="F8" s="82"/>
      <c r="G8" s="79"/>
      <c r="H8" s="82"/>
      <c r="I8" s="76"/>
      <c r="J8" s="5"/>
      <c r="K8" s="5"/>
      <c r="L8" s="5"/>
    </row>
    <row r="9" spans="2:12" ht="15.75" x14ac:dyDescent="0.25">
      <c r="B9" s="96"/>
      <c r="C9" s="65" t="s">
        <v>50</v>
      </c>
      <c r="D9" s="65" t="s">
        <v>46</v>
      </c>
      <c r="E9" s="65" t="s">
        <v>51</v>
      </c>
      <c r="F9" s="79"/>
      <c r="H9" s="79"/>
      <c r="I9" s="77"/>
      <c r="J9" s="5"/>
      <c r="K9" s="5"/>
      <c r="L9" s="5"/>
    </row>
    <row r="10" spans="2:12" ht="15.75" customHeight="1" x14ac:dyDescent="0.25">
      <c r="B10" s="96" t="s">
        <v>32</v>
      </c>
      <c r="C10" s="66">
        <v>26491</v>
      </c>
      <c r="D10" s="67">
        <f>(C10-$H$5)/$H$4</f>
        <v>192.33570739756371</v>
      </c>
      <c r="E10" s="85">
        <f>D10/10000</f>
        <v>1.9233570739756373E-2</v>
      </c>
      <c r="F10" s="83"/>
      <c r="G10" s="79"/>
      <c r="H10" s="83"/>
      <c r="I10" s="76"/>
      <c r="J10" s="5"/>
      <c r="K10" s="5"/>
      <c r="L10" s="5"/>
    </row>
    <row r="11" spans="2:12" ht="15.75" customHeight="1" x14ac:dyDescent="0.25">
      <c r="B11" s="96" t="s">
        <v>33</v>
      </c>
      <c r="C11" s="66">
        <v>12939</v>
      </c>
      <c r="D11" s="67">
        <f>(C11-$I$5)/$I$4</f>
        <v>37.145689747609921</v>
      </c>
      <c r="E11" s="85">
        <f t="shared" ref="E11:E13" si="0">D11/10000</f>
        <v>3.7145689747609921E-3</v>
      </c>
      <c r="F11" s="83"/>
      <c r="G11" s="79"/>
      <c r="H11" s="83"/>
      <c r="I11" s="76"/>
      <c r="J11" s="5"/>
      <c r="K11" s="5"/>
      <c r="L11" s="5"/>
    </row>
    <row r="12" spans="2:12" ht="15.75" customHeight="1" x14ac:dyDescent="0.25">
      <c r="B12" s="96" t="s">
        <v>106</v>
      </c>
      <c r="C12" s="66">
        <v>14207</v>
      </c>
      <c r="D12" s="67">
        <f>(C12-$E$5)/$E$4</f>
        <v>74.929112851220054</v>
      </c>
      <c r="E12" s="85">
        <f t="shared" si="0"/>
        <v>7.4929112851220055E-3</v>
      </c>
      <c r="F12" s="83"/>
      <c r="G12" s="79"/>
      <c r="H12" s="83"/>
      <c r="I12" s="76"/>
      <c r="J12" s="5"/>
      <c r="K12" s="5"/>
      <c r="L12" s="5"/>
    </row>
    <row r="13" spans="2:12" ht="15.75" customHeight="1" x14ac:dyDescent="0.25">
      <c r="B13" s="96" t="s">
        <v>107</v>
      </c>
      <c r="C13" s="66">
        <v>9965</v>
      </c>
      <c r="D13" s="67">
        <f>(C13-$E$5)/$E$4</f>
        <v>51.626103172332051</v>
      </c>
      <c r="E13" s="85">
        <f t="shared" si="0"/>
        <v>5.1626103172332048E-3</v>
      </c>
      <c r="F13" s="83"/>
      <c r="G13" s="79"/>
      <c r="H13" s="83"/>
      <c r="I13" s="76"/>
      <c r="J13" s="5"/>
      <c r="K13" s="5"/>
      <c r="L13" s="5"/>
    </row>
    <row r="14" spans="2:12" ht="15.75" customHeight="1" x14ac:dyDescent="0.25">
      <c r="B14" s="96" t="s">
        <v>108</v>
      </c>
      <c r="C14" s="66">
        <v>4699</v>
      </c>
      <c r="D14" s="67">
        <f t="shared" ref="D14" si="1">(C14-$E$5)/$E$4</f>
        <v>22.697850232910969</v>
      </c>
      <c r="E14" s="85">
        <f>D14/10000</f>
        <v>2.2697850232910968E-3</v>
      </c>
      <c r="F14" s="83"/>
      <c r="G14" s="79"/>
      <c r="H14" s="83"/>
      <c r="I14" s="76"/>
      <c r="J14" s="5"/>
      <c r="K14" s="5"/>
      <c r="L14" s="5"/>
    </row>
    <row r="15" spans="2:12" ht="15.75" customHeight="1" x14ac:dyDescent="0.25">
      <c r="B15" s="106"/>
      <c r="C15" s="105"/>
      <c r="D15" s="67"/>
      <c r="E15" s="103"/>
      <c r="F15" s="83"/>
      <c r="G15" s="79"/>
      <c r="H15" s="83"/>
      <c r="I15" s="76"/>
      <c r="J15" s="5"/>
      <c r="K15" s="5"/>
      <c r="L15" s="5"/>
    </row>
    <row r="16" spans="2:12" s="95" customFormat="1" ht="15.75" x14ac:dyDescent="0.25">
      <c r="B16" s="97" t="s">
        <v>47</v>
      </c>
      <c r="C16" s="88"/>
      <c r="D16" s="89">
        <f>SUM(D12:D14)</f>
        <v>149.25306625646309</v>
      </c>
      <c r="E16" s="68">
        <f>D16/10000</f>
        <v>1.4925306625646308E-2</v>
      </c>
      <c r="F16" s="90"/>
      <c r="G16" s="91"/>
      <c r="H16" s="84"/>
      <c r="I16" s="92"/>
      <c r="J16" s="93"/>
      <c r="K16" s="93"/>
      <c r="L16" s="94"/>
    </row>
    <row r="17" spans="2:12" s="95" customFormat="1" ht="15.75" x14ac:dyDescent="0.25">
      <c r="B17" s="97" t="s">
        <v>44</v>
      </c>
      <c r="C17" s="88"/>
      <c r="D17" s="89">
        <f>D16+D10+D11</f>
        <v>378.73446340163673</v>
      </c>
      <c r="E17" s="68">
        <f>D17/10000</f>
        <v>3.7873446340163673E-2</v>
      </c>
      <c r="F17" s="90"/>
      <c r="G17" s="91"/>
      <c r="H17" s="84"/>
      <c r="I17" s="92"/>
      <c r="J17" s="93"/>
      <c r="K17" s="93"/>
      <c r="L17" s="94"/>
    </row>
    <row r="18" spans="2:12" ht="16.5" thickBot="1" x14ac:dyDescent="0.3">
      <c r="B18" s="98" t="s">
        <v>49</v>
      </c>
      <c r="C18" s="134"/>
      <c r="D18" s="135"/>
      <c r="E18" s="99">
        <f>100-E17</f>
        <v>99.962126553659843</v>
      </c>
      <c r="F18" s="78"/>
      <c r="G18" s="100"/>
      <c r="H18" s="87"/>
      <c r="I18" s="101"/>
      <c r="J18" s="5"/>
      <c r="K18" s="5"/>
      <c r="L18" s="3"/>
    </row>
    <row r="25" spans="2:12" x14ac:dyDescent="0.25">
      <c r="D25" s="86"/>
    </row>
  </sheetData>
  <mergeCells count="2">
    <mergeCell ref="J7:L7"/>
    <mergeCell ref="C18:D18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26-12-2025</vt:lpstr>
      <vt:lpstr>SA002 APB A02 54</vt:lpstr>
      <vt:lpstr>SA002-APB-A03-033 RC</vt:lpstr>
      <vt:lpstr>SA002-APB-A03-34 Carbon filter</vt:lpstr>
      <vt:lpstr>SA002-APB-A03-035 Sulphate salt</vt:lpstr>
      <vt:lpstr>SA002-APB-A03-033 Solid-1</vt:lpstr>
      <vt:lpstr>'26-12-2025'!Print_Area</vt:lpstr>
      <vt:lpstr>'SA002 APB A02 54'!Print_Area</vt:lpstr>
      <vt:lpstr>'SA002-APB-A03-033 RC'!Print_Area</vt:lpstr>
      <vt:lpstr>'SA002-APB-A03-033 Solid-1'!Print_Area</vt:lpstr>
      <vt:lpstr>'SA002-APB-A03-035 Sulphate salt'!Print_Area</vt:lpstr>
      <vt:lpstr>'SA002-APB-A03-34 Carbon filter'!Print_Area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Akkina Sri Sai Prasanna</cp:lastModifiedBy>
  <cp:lastPrinted>2025-12-04T05:57:09Z</cp:lastPrinted>
  <dcterms:created xsi:type="dcterms:W3CDTF">2025-05-20T04:50:55Z</dcterms:created>
  <dcterms:modified xsi:type="dcterms:W3CDTF">2025-12-30T05:34:05Z</dcterms:modified>
</cp:coreProperties>
</file>