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RD_ DQA\Project-2025\Monomer-Dupoint-2025\10.COA\Lab dispatch_19092025\Data\HPLC Data\"/>
    </mc:Choice>
  </mc:AlternateContent>
  <bookViews>
    <workbookView xWindow="0" yWindow="0" windowWidth="24000" windowHeight="9615"/>
  </bookViews>
  <sheets>
    <sheet name="19-09-2025" sheetId="21" r:id="rId1"/>
    <sheet name="Sheet1" sheetId="24" r:id="rId2"/>
    <sheet name="4mgmL Sample(27&amp;26)(19-09-2025)" sheetId="22" r:id="rId3"/>
    <sheet name="4mgmL Sample(26)(4th day)" sheetId="23" r:id="rId4"/>
  </sheets>
  <definedNames>
    <definedName name="_xlnm.Print_Area" localSheetId="0">'19-09-2025'!$E$6:$M$113</definedName>
    <definedName name="_xlnm.Print_Area" localSheetId="3">'4mgmL Sample(26)(4th day)'!$A$2:$H$34</definedName>
    <definedName name="_xlnm.Print_Area" localSheetId="2">'4mgmL Sample(27&amp;26)(19-09-2025)'!$A$5:$H$43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23" l="1"/>
  <c r="C8" i="23"/>
  <c r="I105" i="21" l="1"/>
  <c r="F105" i="21"/>
  <c r="C105" i="21"/>
  <c r="I104" i="21"/>
  <c r="F104" i="21"/>
  <c r="C104" i="21"/>
  <c r="I103" i="21"/>
  <c r="F103" i="21"/>
  <c r="C103" i="21"/>
  <c r="I102" i="21"/>
  <c r="F102" i="21"/>
  <c r="C102" i="21"/>
  <c r="I101" i="21"/>
  <c r="F101" i="21"/>
  <c r="C101" i="21"/>
  <c r="I100" i="21"/>
  <c r="F100" i="21"/>
  <c r="C100" i="21"/>
  <c r="E99" i="21"/>
  <c r="L111" i="21" s="1"/>
  <c r="I92" i="21"/>
  <c r="F92" i="21"/>
  <c r="C92" i="21"/>
  <c r="I91" i="21"/>
  <c r="F91" i="21"/>
  <c r="C91" i="21"/>
  <c r="I90" i="21"/>
  <c r="F90" i="21"/>
  <c r="C90" i="21"/>
  <c r="I89" i="21"/>
  <c r="F89" i="21"/>
  <c r="C89" i="21"/>
  <c r="I88" i="21"/>
  <c r="F88" i="21"/>
  <c r="C88" i="21"/>
  <c r="I87" i="21"/>
  <c r="F87" i="21"/>
  <c r="C87" i="21"/>
  <c r="D87" i="21" s="1"/>
  <c r="E86" i="21"/>
  <c r="K111" i="21" s="1"/>
  <c r="I79" i="21"/>
  <c r="F79" i="21"/>
  <c r="C79" i="21"/>
  <c r="I78" i="21"/>
  <c r="F78" i="21"/>
  <c r="C78" i="21"/>
  <c r="I77" i="21"/>
  <c r="F77" i="21"/>
  <c r="C77" i="21"/>
  <c r="I76" i="21"/>
  <c r="F76" i="21"/>
  <c r="C76" i="21"/>
  <c r="I75" i="21"/>
  <c r="F75" i="21"/>
  <c r="C75" i="21"/>
  <c r="I74" i="21"/>
  <c r="F74" i="21"/>
  <c r="C74" i="21"/>
  <c r="E73" i="21"/>
  <c r="J111" i="21" s="1"/>
  <c r="I65" i="21"/>
  <c r="F65" i="21"/>
  <c r="C65" i="21"/>
  <c r="I64" i="21"/>
  <c r="F64" i="21"/>
  <c r="C64" i="21"/>
  <c r="I63" i="21"/>
  <c r="F63" i="21"/>
  <c r="C63" i="21"/>
  <c r="I62" i="21"/>
  <c r="F62" i="21"/>
  <c r="C62" i="21"/>
  <c r="I61" i="21"/>
  <c r="F61" i="21"/>
  <c r="C61" i="21"/>
  <c r="I60" i="21"/>
  <c r="F60" i="21"/>
  <c r="C60" i="21"/>
  <c r="E59" i="21"/>
  <c r="I111" i="21" s="1"/>
  <c r="I52" i="21"/>
  <c r="F52" i="21"/>
  <c r="C52" i="21"/>
  <c r="I51" i="21"/>
  <c r="F51" i="21"/>
  <c r="C51" i="21"/>
  <c r="I50" i="21"/>
  <c r="F50" i="21"/>
  <c r="C50" i="21"/>
  <c r="I49" i="21"/>
  <c r="F49" i="21"/>
  <c r="C49" i="21"/>
  <c r="I48" i="21"/>
  <c r="F48" i="21"/>
  <c r="C48" i="21"/>
  <c r="Q47" i="21"/>
  <c r="I47" i="21"/>
  <c r="F47" i="21"/>
  <c r="C47" i="21"/>
  <c r="E46" i="21"/>
  <c r="H111" i="21" s="1"/>
  <c r="I39" i="21"/>
  <c r="F39" i="21"/>
  <c r="C39" i="21"/>
  <c r="I38" i="21"/>
  <c r="F38" i="21"/>
  <c r="C38" i="21"/>
  <c r="I37" i="21"/>
  <c r="F37" i="21"/>
  <c r="C37" i="21"/>
  <c r="I36" i="21"/>
  <c r="F36" i="21"/>
  <c r="C36" i="21"/>
  <c r="I35" i="21"/>
  <c r="F35" i="21"/>
  <c r="C35" i="21"/>
  <c r="I34" i="21"/>
  <c r="F34" i="21"/>
  <c r="C34" i="21"/>
  <c r="E33" i="21"/>
  <c r="G111" i="21" s="1"/>
  <c r="I26" i="21"/>
  <c r="F26" i="21"/>
  <c r="C26" i="21"/>
  <c r="I25" i="21"/>
  <c r="F25" i="21"/>
  <c r="C25" i="21"/>
  <c r="I24" i="21"/>
  <c r="F24" i="21"/>
  <c r="C24" i="21"/>
  <c r="I23" i="21"/>
  <c r="F23" i="21"/>
  <c r="C23" i="21"/>
  <c r="I22" i="21"/>
  <c r="F22" i="21"/>
  <c r="C22" i="21"/>
  <c r="I21" i="21"/>
  <c r="F21" i="21"/>
  <c r="C21" i="21"/>
  <c r="D21" i="21" s="1"/>
  <c r="E20" i="21"/>
  <c r="F111" i="21" s="1"/>
  <c r="D11" i="22" l="1"/>
  <c r="D2" i="23"/>
  <c r="B11" i="22"/>
  <c r="B2" i="23"/>
  <c r="F11" i="22"/>
  <c r="F2" i="23"/>
  <c r="H11" i="22"/>
  <c r="H2" i="23"/>
  <c r="E11" i="22"/>
  <c r="E2" i="23"/>
  <c r="G11" i="22"/>
  <c r="G2" i="23"/>
  <c r="C11" i="22"/>
  <c r="C2" i="23"/>
  <c r="I55" i="21"/>
  <c r="H112" i="21" s="1"/>
  <c r="I69" i="21"/>
  <c r="I113" i="21" s="1"/>
  <c r="I27" i="21"/>
  <c r="I28" i="21" s="1"/>
  <c r="I106" i="21"/>
  <c r="I107" i="21" s="1"/>
  <c r="I40" i="21"/>
  <c r="I41" i="21" s="1"/>
  <c r="I30" i="21"/>
  <c r="I31" i="21" s="1"/>
  <c r="I108" i="21"/>
  <c r="L112" i="21" s="1"/>
  <c r="I96" i="21"/>
  <c r="I97" i="21" s="1"/>
  <c r="I93" i="21"/>
  <c r="I94" i="21" s="1"/>
  <c r="I80" i="21"/>
  <c r="I81" i="21" s="1"/>
  <c r="I42" i="21"/>
  <c r="G112" i="21" s="1"/>
  <c r="I43" i="21"/>
  <c r="I44" i="21" s="1"/>
  <c r="I29" i="21"/>
  <c r="F112" i="21" s="1"/>
  <c r="I68" i="21"/>
  <c r="I112" i="21" s="1"/>
  <c r="I109" i="21"/>
  <c r="I66" i="21"/>
  <c r="I67" i="21" s="1"/>
  <c r="I83" i="21"/>
  <c r="I53" i="21"/>
  <c r="I54" i="21" s="1"/>
  <c r="I95" i="21"/>
  <c r="K112" i="21" s="1"/>
  <c r="I82" i="21"/>
  <c r="J112" i="21" s="1"/>
  <c r="I56" i="21"/>
  <c r="E4" i="23" l="1"/>
  <c r="E13" i="22"/>
  <c r="H12" i="22"/>
  <c r="H3" i="23"/>
  <c r="F12" i="22"/>
  <c r="F3" i="23"/>
  <c r="B12" i="22"/>
  <c r="B3" i="23"/>
  <c r="D12" i="22"/>
  <c r="D3" i="23"/>
  <c r="G12" i="22"/>
  <c r="G3" i="23"/>
  <c r="E12" i="22"/>
  <c r="E3" i="23"/>
  <c r="I70" i="21"/>
  <c r="C12" i="22"/>
  <c r="C3" i="23"/>
  <c r="H114" i="21"/>
  <c r="H115" i="21" s="1"/>
  <c r="G117" i="21"/>
  <c r="G118" i="21" s="1"/>
  <c r="L117" i="21"/>
  <c r="L118" i="21" s="1"/>
  <c r="F113" i="21"/>
  <c r="K113" i="21"/>
  <c r="G113" i="21"/>
  <c r="G114" i="21"/>
  <c r="G115" i="21" s="1"/>
  <c r="L114" i="21"/>
  <c r="L115" i="21" s="1"/>
  <c r="F117" i="21"/>
  <c r="F118" i="21" s="1"/>
  <c r="H113" i="21"/>
  <c r="I57" i="21"/>
  <c r="J117" i="21"/>
  <c r="J118" i="21" s="1"/>
  <c r="J114" i="21"/>
  <c r="J115" i="21" s="1"/>
  <c r="J113" i="21"/>
  <c r="I84" i="21"/>
  <c r="I110" i="21"/>
  <c r="L113" i="21"/>
  <c r="K117" i="21"/>
  <c r="K118" i="21" s="1"/>
  <c r="K114" i="21"/>
  <c r="K115" i="21" s="1"/>
  <c r="I117" i="21"/>
  <c r="I118" i="21" s="1"/>
  <c r="I114" i="21"/>
  <c r="I115" i="21" s="1"/>
  <c r="H4" i="23" l="1"/>
  <c r="C15" i="23" s="1"/>
  <c r="D15" i="23" s="1"/>
  <c r="H13" i="22"/>
  <c r="F4" i="23"/>
  <c r="F13" i="22"/>
  <c r="D4" i="23"/>
  <c r="D13" i="22"/>
  <c r="C13" i="22"/>
  <c r="C4" i="23"/>
  <c r="G4" i="23"/>
  <c r="C14" i="23" s="1"/>
  <c r="G13" i="22"/>
  <c r="B4" i="23"/>
  <c r="B13" i="22"/>
  <c r="D23" i="22" l="1"/>
  <c r="F23" i="22" s="1"/>
  <c r="E23" i="22"/>
  <c r="D28" i="22"/>
  <c r="F28" i="22" s="1"/>
  <c r="D26" i="22"/>
  <c r="F26" i="22" s="1"/>
  <c r="D27" i="22"/>
  <c r="F27" i="22" s="1"/>
  <c r="D38" i="22"/>
  <c r="F38" i="22" s="1"/>
  <c r="E25" i="22"/>
  <c r="D39" i="22"/>
  <c r="F39" i="22" s="1"/>
  <c r="D37" i="22"/>
  <c r="F37" i="22" s="1"/>
  <c r="E29" i="22"/>
  <c r="G29" i="22" s="1"/>
  <c r="D36" i="22"/>
  <c r="F36" i="22" s="1"/>
  <c r="D31" i="22"/>
  <c r="F31" i="22" s="1"/>
  <c r="D25" i="22"/>
  <c r="D35" i="22"/>
  <c r="F35" i="22" s="1"/>
  <c r="D30" i="22"/>
  <c r="F30" i="22" s="1"/>
  <c r="E30" i="22"/>
  <c r="G30" i="22" s="1"/>
  <c r="D34" i="22"/>
  <c r="F34" i="22" s="1"/>
  <c r="D29" i="22"/>
  <c r="F29" i="22" s="1"/>
  <c r="E31" i="22"/>
  <c r="G31" i="22" s="1"/>
  <c r="D33" i="22"/>
  <c r="F33" i="22" s="1"/>
  <c r="E32" i="22"/>
  <c r="G32" i="22" s="1"/>
  <c r="E33" i="22"/>
  <c r="G33" i="22" s="1"/>
  <c r="E26" i="22"/>
  <c r="G26" i="22" s="1"/>
  <c r="E34" i="22"/>
  <c r="G34" i="22" s="1"/>
  <c r="E38" i="22"/>
  <c r="G38" i="22" s="1"/>
  <c r="E36" i="22"/>
  <c r="G36" i="22" s="1"/>
  <c r="D32" i="22"/>
  <c r="F32" i="22" s="1"/>
  <c r="E35" i="22"/>
  <c r="G35" i="22" s="1"/>
  <c r="E37" i="22"/>
  <c r="G37" i="22" s="1"/>
  <c r="E27" i="22"/>
  <c r="G27" i="22" s="1"/>
  <c r="E39" i="22"/>
  <c r="G39" i="22" s="1"/>
  <c r="E28" i="22"/>
  <c r="G28" i="22" s="1"/>
  <c r="C18" i="23"/>
  <c r="D18" i="23" s="1"/>
  <c r="C17" i="23"/>
  <c r="D17" i="23" s="1"/>
  <c r="C21" i="23"/>
  <c r="D21" i="23" s="1"/>
  <c r="C20" i="23"/>
  <c r="D20" i="23" s="1"/>
  <c r="C24" i="23"/>
  <c r="D24" i="23" s="1"/>
  <c r="C23" i="23"/>
  <c r="D23" i="23" s="1"/>
  <c r="C27" i="23"/>
  <c r="D27" i="23" s="1"/>
  <c r="C26" i="23"/>
  <c r="D26" i="23" s="1"/>
  <c r="C30" i="23"/>
  <c r="D30" i="23" s="1"/>
  <c r="C16" i="23"/>
  <c r="C19" i="23"/>
  <c r="D19" i="23" s="1"/>
  <c r="C22" i="23"/>
  <c r="D22" i="23" s="1"/>
  <c r="C28" i="23"/>
  <c r="D28" i="23" s="1"/>
  <c r="C29" i="23"/>
  <c r="D29" i="23" s="1"/>
  <c r="C25" i="23"/>
  <c r="D25" i="23" s="1"/>
  <c r="E24" i="22"/>
  <c r="G24" i="22" s="1"/>
  <c r="D24" i="22"/>
  <c r="D14" i="23"/>
  <c r="F25" i="22"/>
  <c r="O124" i="21"/>
  <c r="C31" i="23" l="1"/>
  <c r="D16" i="23"/>
  <c r="G23" i="22"/>
  <c r="G25" i="22"/>
  <c r="E40" i="22"/>
  <c r="G40" i="22" s="1"/>
  <c r="F24" i="22"/>
  <c r="D40" i="22"/>
  <c r="F40" i="22" s="1"/>
  <c r="D41" i="22" l="1"/>
  <c r="F41" i="22" s="1"/>
  <c r="F42" i="22" s="1"/>
  <c r="E41" i="22"/>
  <c r="G41" i="22" s="1"/>
  <c r="G42" i="22" s="1"/>
  <c r="D31" i="23"/>
  <c r="C32" i="23"/>
  <c r="D32" i="23" s="1"/>
  <c r="D33" i="23" s="1"/>
</calcChain>
</file>

<file path=xl/sharedStrings.xml><?xml version="1.0" encoding="utf-8"?>
<sst xmlns="http://schemas.openxmlformats.org/spreadsheetml/2006/main" count="263" uniqueCount="87">
  <si>
    <t>R2</t>
  </si>
  <si>
    <t>SLOPE</t>
  </si>
  <si>
    <t>1-BPAA</t>
  </si>
  <si>
    <t>INSTRUMENT ID</t>
  </si>
  <si>
    <t xml:space="preserve">                Date :</t>
  </si>
  <si>
    <t>Average</t>
  </si>
  <si>
    <t>NEWATOM LABS PRIVATE LTD. R&amp;D CENTRE</t>
  </si>
  <si>
    <t>ANALYTICAL METHOD VALIDATION</t>
  </si>
  <si>
    <t>Linearity and Range</t>
  </si>
  <si>
    <t>PARAMETER</t>
  </si>
  <si>
    <t>PROJECT</t>
  </si>
  <si>
    <t>TEST</t>
  </si>
  <si>
    <t>NAL/ARD/HPLC-04</t>
  </si>
  <si>
    <t>Standard/Imp name</t>
  </si>
  <si>
    <t>Standard/Imp wt (mg)</t>
  </si>
  <si>
    <t>Purity/Potency (%)</t>
  </si>
  <si>
    <t>DAPBI</t>
  </si>
  <si>
    <t>Peak area-1</t>
  </si>
  <si>
    <t>Peak area-2</t>
  </si>
  <si>
    <t>Stock solution (mL)</t>
  </si>
  <si>
    <t>volume taken (mL)</t>
  </si>
  <si>
    <t>Imtermediate stock (mL)</t>
  </si>
  <si>
    <t>Linearity-2 (50%)</t>
  </si>
  <si>
    <t>Linearity-3 (75%)</t>
  </si>
  <si>
    <t>Linearity-4 (100%)</t>
  </si>
  <si>
    <t>Linearity-5 (125%)</t>
  </si>
  <si>
    <t>Linearity-6 (150%</t>
  </si>
  <si>
    <t>LOQ (30%)</t>
  </si>
  <si>
    <t>DAPBA</t>
  </si>
  <si>
    <t>Batch No.</t>
  </si>
  <si>
    <t>TABA</t>
  </si>
  <si>
    <t>4,4-DABA</t>
  </si>
  <si>
    <t>2-AP 4-AB</t>
  </si>
  <si>
    <t>PABI</t>
  </si>
  <si>
    <t>4-BIA</t>
  </si>
  <si>
    <t>Impurity name</t>
  </si>
  <si>
    <t>Slope</t>
  </si>
  <si>
    <t>Intercept</t>
  </si>
  <si>
    <t>% Y-Intrercept</t>
  </si>
  <si>
    <t>Correlation coefficient (R)</t>
  </si>
  <si>
    <t>RRF wrt TABA</t>
  </si>
  <si>
    <t>CF wrt TABA</t>
  </si>
  <si>
    <t>RRF wrt DAPBI</t>
  </si>
  <si>
    <t>CF wrt DAPBI</t>
  </si>
  <si>
    <t>Concentration(ppm)</t>
  </si>
  <si>
    <t>ND</t>
  </si>
  <si>
    <t>Total imp</t>
  </si>
  <si>
    <t>Y-Intercept</t>
  </si>
  <si>
    <t>PPM</t>
  </si>
  <si>
    <t>Sum of Unknown imp</t>
  </si>
  <si>
    <t xml:space="preserve"> </t>
  </si>
  <si>
    <t>Purity (%)</t>
  </si>
  <si>
    <t xml:space="preserve">Peak Area </t>
  </si>
  <si>
    <t xml:space="preserve"> %</t>
  </si>
  <si>
    <t>RRT~ 0.945</t>
  </si>
  <si>
    <t>RRT~ 0.502</t>
  </si>
  <si>
    <t>RRT~ 1.286</t>
  </si>
  <si>
    <t>RRT~ 1.318</t>
  </si>
  <si>
    <t>RRT~ 1.630</t>
  </si>
  <si>
    <t>RRT~ 1.702</t>
  </si>
  <si>
    <t>RRT~ 1.805</t>
  </si>
  <si>
    <t>RRT~ 1.884</t>
  </si>
  <si>
    <t>RRT~ 1.911</t>
  </si>
  <si>
    <t>RRT~ 1.943</t>
  </si>
  <si>
    <t>RRT~ 2.047</t>
  </si>
  <si>
    <t>RRT~ 2.111</t>
  </si>
  <si>
    <t>RRT~ 2.133</t>
  </si>
  <si>
    <t>RRT~ 2.256</t>
  </si>
  <si>
    <t>SA002/APB/A03(DAPBI)/026</t>
  </si>
  <si>
    <t>SA002/APB/A03(DAPBI)/027</t>
  </si>
  <si>
    <t>RRT~ 1.161</t>
  </si>
  <si>
    <t>SA002/APB/A03(DAPBI)/026(4th day)</t>
  </si>
  <si>
    <t>Batch no</t>
  </si>
  <si>
    <t>Test</t>
  </si>
  <si>
    <t>Description</t>
  </si>
  <si>
    <t>Water content (% w/w)</t>
  </si>
  <si>
    <t>Purity by HPLC (% w/w)</t>
  </si>
  <si>
    <t>SA002/APB/A03/(DAPBI)-026</t>
  </si>
  <si>
    <t>SA002/APB/A03/(DAPBI)-027</t>
  </si>
  <si>
    <t>Specifications</t>
  </si>
  <si>
    <t>White to tan color solid</t>
  </si>
  <si>
    <t>NMT 0.2</t>
  </si>
  <si>
    <t>NLT 99.8</t>
  </si>
  <si>
    <t>Light tan color solid</t>
  </si>
  <si>
    <t>COMPLETE ANALYSIS</t>
  </si>
  <si>
    <t>Purity by HPLC</t>
  </si>
  <si>
    <t>APB/A03 (DAPBI)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</si>
</sst>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"/>
    <numFmt numFmtId="165" formatCode="#,##0.0"/>
    <numFmt numFmtId="166" formatCode="0.000"/>
    <numFmt numFmtId="167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Border="1"/>
    <xf numFmtId="166" fontId="0" fillId="0" borderId="0" xfId="0" applyNumberFormat="1" applyBorder="1" applyAlignment="1">
      <alignment horizontal="center"/>
    </xf>
    <xf numFmtId="167" fontId="0" fillId="0" borderId="0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center"/>
    </xf>
    <xf numFmtId="2" fontId="0" fillId="0" borderId="0" xfId="0" applyNumberForma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14" fontId="1" fillId="0" borderId="24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2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166" fontId="1" fillId="0" borderId="2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3" fontId="0" fillId="0" borderId="0" xfId="0" applyNumberFormat="1"/>
    <xf numFmtId="166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2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/>
    <xf numFmtId="3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166" fontId="2" fillId="0" borderId="0" xfId="0" applyNumberFormat="1" applyFont="1" applyBorder="1" applyAlignment="1">
      <alignment horizontal="center"/>
    </xf>
    <xf numFmtId="0" fontId="2" fillId="0" borderId="0" xfId="0" applyFont="1"/>
    <xf numFmtId="0" fontId="0" fillId="0" borderId="1" xfId="0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0" fillId="0" borderId="28" xfId="0" applyBorder="1" applyAlignment="1"/>
    <xf numFmtId="0" fontId="0" fillId="0" borderId="29" xfId="0" applyBorder="1" applyAlignment="1"/>
    <xf numFmtId="0" fontId="0" fillId="0" borderId="2" xfId="0" applyBorder="1" applyAlignment="1"/>
    <xf numFmtId="0" fontId="0" fillId="0" borderId="0" xfId="0" applyBorder="1" applyAlignme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16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2" fontId="2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2" fontId="2" fillId="0" borderId="28" xfId="0" applyNumberFormat="1" applyFont="1" applyBorder="1" applyAlignment="1"/>
    <xf numFmtId="2" fontId="2" fillId="0" borderId="2" xfId="0" applyNumberFormat="1" applyFont="1" applyBorder="1" applyAlignment="1"/>
    <xf numFmtId="0" fontId="3" fillId="0" borderId="1" xfId="0" applyFont="1" applyFill="1" applyBorder="1" applyAlignment="1">
      <alignment vertical="center"/>
    </xf>
    <xf numFmtId="0" fontId="0" fillId="0" borderId="1" xfId="0" applyBorder="1" applyAlignment="1"/>
    <xf numFmtId="0" fontId="4" fillId="0" borderId="1" xfId="0" applyFont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1" fillId="0" borderId="25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30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/>
    </xf>
    <xf numFmtId="2" fontId="2" fillId="0" borderId="26" xfId="0" applyNumberFormat="1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14" fontId="1" fillId="0" borderId="39" xfId="0" applyNumberFormat="1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14" fontId="1" fillId="0" borderId="8" xfId="0" applyNumberFormat="1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0" fillId="0" borderId="36" xfId="0" applyBorder="1"/>
    <xf numFmtId="164" fontId="1" fillId="0" borderId="8" xfId="0" applyNumberFormat="1" applyFont="1" applyBorder="1" applyAlignment="1">
      <alignment horizontal="center"/>
    </xf>
    <xf numFmtId="165" fontId="1" fillId="0" borderId="8" xfId="0" applyNumberFormat="1" applyFont="1" applyBorder="1" applyAlignment="1">
      <alignment horizontal="center"/>
    </xf>
    <xf numFmtId="0" fontId="1" fillId="0" borderId="8" xfId="0" applyFont="1" applyBorder="1"/>
    <xf numFmtId="0" fontId="1" fillId="0" borderId="36" xfId="0" applyFont="1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2" borderId="38" xfId="0" applyFill="1" applyBorder="1" applyAlignment="1">
      <alignment horizontal="center"/>
    </xf>
    <xf numFmtId="0" fontId="0" fillId="2" borderId="40" xfId="0" applyFill="1" applyBorder="1" applyAlignment="1">
      <alignment horizontal="center"/>
    </xf>
    <xf numFmtId="2" fontId="2" fillId="0" borderId="41" xfId="0" applyNumberFormat="1" applyFont="1" applyBorder="1" applyAlignment="1">
      <alignment horizontal="center"/>
    </xf>
    <xf numFmtId="1" fontId="2" fillId="0" borderId="41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4,4-DABA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3258814523184601"/>
                  <c:y val="-6.365755311840179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'19-09-2025'!$F$34:$F$39</c:f>
              <c:numCache>
                <c:formatCode>0.0000</c:formatCode>
                <c:ptCount val="6"/>
                <c:pt idx="0">
                  <c:v>24.8185</c:v>
                </c:pt>
                <c:pt idx="1">
                  <c:v>62.046250000000001</c:v>
                </c:pt>
                <c:pt idx="2">
                  <c:v>93.069375000000008</c:v>
                </c:pt>
                <c:pt idx="3">
                  <c:v>124.0925</c:v>
                </c:pt>
                <c:pt idx="4">
                  <c:v>155.11562499999997</c:v>
                </c:pt>
                <c:pt idx="5">
                  <c:v>186.13875000000002</c:v>
                </c:pt>
              </c:numCache>
            </c:numRef>
          </c:xVal>
          <c:yVal>
            <c:numRef>
              <c:f>'19-09-2025'!$I$34:$I$39</c:f>
              <c:numCache>
                <c:formatCode>0</c:formatCode>
                <c:ptCount val="6"/>
                <c:pt idx="0">
                  <c:v>4419</c:v>
                </c:pt>
                <c:pt idx="1">
                  <c:v>12798</c:v>
                </c:pt>
                <c:pt idx="2">
                  <c:v>18367</c:v>
                </c:pt>
                <c:pt idx="3">
                  <c:v>23754</c:v>
                </c:pt>
                <c:pt idx="4">
                  <c:v>30031</c:v>
                </c:pt>
                <c:pt idx="5">
                  <c:v>36301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14116480"/>
        <c:axId val="-314121376"/>
      </c:scatterChart>
      <c:valAx>
        <c:axId val="-3141164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200" b="0" i="0" baseline="0">
                    <a:effectLst/>
                  </a:rPr>
                  <a:t>Conc. (ppm)</a:t>
                </a:r>
                <a:endParaRPr lang="en-IN" sz="7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14121376"/>
        <c:crosses val="autoZero"/>
        <c:crossBetween val="midCat"/>
      </c:valAx>
      <c:valAx>
        <c:axId val="-31412137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200" b="0" i="0" baseline="0">
                    <a:effectLst/>
                  </a:rPr>
                  <a:t>Peak area</a:t>
                </a:r>
                <a:endParaRPr lang="en-IN" sz="7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141164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DAPBI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0457378638481"/>
                  <c:y val="-5.509090909090909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'19-09-2025'!$F$47:$F$52</c:f>
              <c:numCache>
                <c:formatCode>0.0000</c:formatCode>
                <c:ptCount val="6"/>
                <c:pt idx="0">
                  <c:v>25.5045</c:v>
                </c:pt>
                <c:pt idx="1">
                  <c:v>63.76124999999999</c:v>
                </c:pt>
                <c:pt idx="2">
                  <c:v>95.641875000000013</c:v>
                </c:pt>
                <c:pt idx="3">
                  <c:v>127.52249999999998</c:v>
                </c:pt>
                <c:pt idx="4">
                  <c:v>159.40312499999999</c:v>
                </c:pt>
                <c:pt idx="5">
                  <c:v>191.28375000000003</c:v>
                </c:pt>
              </c:numCache>
            </c:numRef>
          </c:xVal>
          <c:yVal>
            <c:numRef>
              <c:f>'19-09-2025'!$I$47:$I$52</c:f>
              <c:numCache>
                <c:formatCode>0</c:formatCode>
                <c:ptCount val="6"/>
                <c:pt idx="0">
                  <c:v>4315</c:v>
                </c:pt>
                <c:pt idx="1">
                  <c:v>10827</c:v>
                </c:pt>
                <c:pt idx="2">
                  <c:v>16084</c:v>
                </c:pt>
                <c:pt idx="3">
                  <c:v>20788</c:v>
                </c:pt>
                <c:pt idx="4">
                  <c:v>26481</c:v>
                </c:pt>
                <c:pt idx="5">
                  <c:v>31584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14117568"/>
        <c:axId val="-314123552"/>
      </c:scatterChart>
      <c:valAx>
        <c:axId val="-3141175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200" b="0" i="0" baseline="0">
                    <a:effectLst/>
                  </a:rPr>
                  <a:t>Conc. (ppm)</a:t>
                </a:r>
                <a:endParaRPr lang="en-IN" sz="7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14123552"/>
        <c:crosses val="autoZero"/>
        <c:crossBetween val="midCat"/>
      </c:valAx>
      <c:valAx>
        <c:axId val="-3141235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200" b="0" i="0" baseline="0">
                    <a:effectLst/>
                  </a:rPr>
                  <a:t>Peak area</a:t>
                </a:r>
                <a:endParaRPr lang="en-IN" sz="7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141175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2-AP 4-AB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3245678749615759"/>
                  <c:y val="-7.933333333333333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'19-09-2025'!$F$60:$F$65</c:f>
              <c:numCache>
                <c:formatCode>0.0000</c:formatCode>
                <c:ptCount val="6"/>
                <c:pt idx="0">
                  <c:v>26.605442500000002</c:v>
                </c:pt>
                <c:pt idx="1">
                  <c:v>66.513606249999995</c:v>
                </c:pt>
                <c:pt idx="2">
                  <c:v>99.770409374999986</c:v>
                </c:pt>
                <c:pt idx="3">
                  <c:v>133.02721249999999</c:v>
                </c:pt>
                <c:pt idx="4">
                  <c:v>166.28401562499999</c:v>
                </c:pt>
                <c:pt idx="5">
                  <c:v>199.54081874999997</c:v>
                </c:pt>
              </c:numCache>
            </c:numRef>
          </c:xVal>
          <c:yVal>
            <c:numRef>
              <c:f>'19-09-2025'!$I$60:$I$65</c:f>
              <c:numCache>
                <c:formatCode>0</c:formatCode>
                <c:ptCount val="6"/>
                <c:pt idx="0">
                  <c:v>3359</c:v>
                </c:pt>
                <c:pt idx="1">
                  <c:v>7567</c:v>
                </c:pt>
                <c:pt idx="2">
                  <c:v>10972</c:v>
                </c:pt>
                <c:pt idx="3">
                  <c:v>14789</c:v>
                </c:pt>
                <c:pt idx="4">
                  <c:v>17800</c:v>
                </c:pt>
                <c:pt idx="5">
                  <c:v>24653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14120288"/>
        <c:axId val="-314123008"/>
      </c:scatterChart>
      <c:valAx>
        <c:axId val="-3141202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200" b="0" i="0" baseline="0">
                    <a:effectLst/>
                  </a:rPr>
                  <a:t>Conc. (ppm)</a:t>
                </a:r>
                <a:endParaRPr lang="en-IN" sz="7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14123008"/>
        <c:crosses val="autoZero"/>
        <c:crossBetween val="midCat"/>
      </c:valAx>
      <c:valAx>
        <c:axId val="-31412300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200" b="0" i="0" baseline="0">
                    <a:effectLst/>
                  </a:rPr>
                  <a:t>Peak area</a:t>
                </a:r>
                <a:endParaRPr lang="en-IN" sz="7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141202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DAPBA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3998604904116716"/>
                  <c:y val="-8.539393939393939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'19-09-2025'!$F$74:$F$79</c:f>
              <c:numCache>
                <c:formatCode>0.0000</c:formatCode>
                <c:ptCount val="6"/>
                <c:pt idx="0">
                  <c:v>28.565039999999996</c:v>
                </c:pt>
                <c:pt idx="1">
                  <c:v>71.412599999999983</c:v>
                </c:pt>
                <c:pt idx="2">
                  <c:v>107.1189</c:v>
                </c:pt>
                <c:pt idx="3">
                  <c:v>142.82519999999997</c:v>
                </c:pt>
                <c:pt idx="4">
                  <c:v>178.53149999999999</c:v>
                </c:pt>
                <c:pt idx="5">
                  <c:v>214.23779999999999</c:v>
                </c:pt>
              </c:numCache>
            </c:numRef>
          </c:xVal>
          <c:yVal>
            <c:numRef>
              <c:f>'19-09-2025'!$I$74:$I$79</c:f>
              <c:numCache>
                <c:formatCode>0</c:formatCode>
                <c:ptCount val="6"/>
                <c:pt idx="0">
                  <c:v>305</c:v>
                </c:pt>
                <c:pt idx="1">
                  <c:v>729</c:v>
                </c:pt>
                <c:pt idx="2">
                  <c:v>954</c:v>
                </c:pt>
                <c:pt idx="3">
                  <c:v>1359</c:v>
                </c:pt>
                <c:pt idx="4">
                  <c:v>1834</c:v>
                </c:pt>
                <c:pt idx="5">
                  <c:v>2397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49836368"/>
        <c:axId val="-49834736"/>
      </c:scatterChart>
      <c:valAx>
        <c:axId val="-49836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200" b="0" i="0" baseline="0">
                    <a:effectLst/>
                  </a:rPr>
                  <a:t>Conc. (ppm)</a:t>
                </a:r>
                <a:endParaRPr lang="en-IN" sz="7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49834736"/>
        <c:crosses val="autoZero"/>
        <c:crossBetween val="midCat"/>
      </c:valAx>
      <c:valAx>
        <c:axId val="-4983473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200" b="0" i="0" baseline="0">
                    <a:effectLst/>
                  </a:rPr>
                  <a:t>Peak area</a:t>
                </a:r>
                <a:endParaRPr lang="en-IN" sz="7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498363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PABI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5862784043886405"/>
                  <c:y val="-7.327272727272726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'19-09-2025'!$F$87:$F$92</c:f>
              <c:numCache>
                <c:formatCode>0.0000</c:formatCode>
                <c:ptCount val="6"/>
                <c:pt idx="0">
                  <c:v>12.8331</c:v>
                </c:pt>
                <c:pt idx="1">
                  <c:v>32.08274999999999</c:v>
                </c:pt>
                <c:pt idx="2">
                  <c:v>48.124124999999992</c:v>
                </c:pt>
                <c:pt idx="3">
                  <c:v>64.16549999999998</c:v>
                </c:pt>
                <c:pt idx="4">
                  <c:v>80.206874999999982</c:v>
                </c:pt>
                <c:pt idx="5">
                  <c:v>96.248249999999985</c:v>
                </c:pt>
              </c:numCache>
            </c:numRef>
          </c:xVal>
          <c:yVal>
            <c:numRef>
              <c:f>'19-09-2025'!$I$87:$I$92</c:f>
              <c:numCache>
                <c:formatCode>0</c:formatCode>
                <c:ptCount val="6"/>
                <c:pt idx="0">
                  <c:v>1848</c:v>
                </c:pt>
                <c:pt idx="1">
                  <c:v>4566</c:v>
                </c:pt>
                <c:pt idx="2">
                  <c:v>6690</c:v>
                </c:pt>
                <c:pt idx="3">
                  <c:v>8863</c:v>
                </c:pt>
                <c:pt idx="4">
                  <c:v>10935</c:v>
                </c:pt>
                <c:pt idx="5">
                  <c:v>13292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49838000"/>
        <c:axId val="-49835280"/>
      </c:scatterChart>
      <c:valAx>
        <c:axId val="-498380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200" b="0" i="0" baseline="0">
                    <a:effectLst/>
                  </a:rPr>
                  <a:t>Conc. (ppm)</a:t>
                </a:r>
                <a:endParaRPr lang="en-IN" sz="7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49835280"/>
        <c:crosses val="autoZero"/>
        <c:crossBetween val="midCat"/>
      </c:valAx>
      <c:valAx>
        <c:axId val="-4983528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200" b="0" i="0" baseline="0">
                    <a:effectLst/>
                  </a:rPr>
                  <a:t>Peak area</a:t>
                </a:r>
                <a:endParaRPr lang="en-IN" sz="7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498380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4-BIA</a:t>
            </a:r>
          </a:p>
        </c:rich>
      </c:tx>
      <c:layout>
        <c:manualLayout>
          <c:xMode val="edge"/>
          <c:yMode val="edge"/>
          <c:x val="0.43477477477477477"/>
          <c:y val="3.6363636363636362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0757678938781302"/>
                  <c:y val="-9.1454545454545455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'19-09-2025'!$F$100:$F$105</c:f>
              <c:numCache>
                <c:formatCode>0.0000</c:formatCode>
                <c:ptCount val="6"/>
                <c:pt idx="0">
                  <c:v>12.668732999999998</c:v>
                </c:pt>
                <c:pt idx="1">
                  <c:v>31.671832499999997</c:v>
                </c:pt>
                <c:pt idx="2">
                  <c:v>47.507748749999998</c:v>
                </c:pt>
                <c:pt idx="3">
                  <c:v>63.343664999999994</c:v>
                </c:pt>
                <c:pt idx="4">
                  <c:v>79.179581249999984</c:v>
                </c:pt>
                <c:pt idx="5">
                  <c:v>95.015497499999995</c:v>
                </c:pt>
              </c:numCache>
            </c:numRef>
          </c:xVal>
          <c:yVal>
            <c:numRef>
              <c:f>'19-09-2025'!$I$100:$I$105</c:f>
              <c:numCache>
                <c:formatCode>0</c:formatCode>
                <c:ptCount val="6"/>
                <c:pt idx="0">
                  <c:v>4345</c:v>
                </c:pt>
                <c:pt idx="1">
                  <c:v>10911</c:v>
                </c:pt>
                <c:pt idx="2">
                  <c:v>15825</c:v>
                </c:pt>
                <c:pt idx="3">
                  <c:v>21237</c:v>
                </c:pt>
                <c:pt idx="4">
                  <c:v>26795</c:v>
                </c:pt>
                <c:pt idx="5">
                  <c:v>32139</c:v>
                </c:pt>
              </c:numCache>
            </c:numRef>
          </c:yVal>
          <c:smooth val="0"/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'19-09-2025'!$F$100:$F$105</c:f>
              <c:numCache>
                <c:formatCode>0.0000</c:formatCode>
                <c:ptCount val="6"/>
                <c:pt idx="0">
                  <c:v>12.668732999999998</c:v>
                </c:pt>
                <c:pt idx="1">
                  <c:v>31.671832499999997</c:v>
                </c:pt>
                <c:pt idx="2">
                  <c:v>47.507748749999998</c:v>
                </c:pt>
                <c:pt idx="3">
                  <c:v>63.343664999999994</c:v>
                </c:pt>
                <c:pt idx="4">
                  <c:v>79.179581249999984</c:v>
                </c:pt>
                <c:pt idx="5">
                  <c:v>95.015497499999995</c:v>
                </c:pt>
              </c:numCache>
            </c:numRef>
          </c:xVal>
          <c:yVal>
            <c:numRef>
              <c:f>'19-09-2025'!$G$100:$G$105</c:f>
              <c:numCache>
                <c:formatCode>General</c:formatCode>
                <c:ptCount val="6"/>
                <c:pt idx="0">
                  <c:v>4345</c:v>
                </c:pt>
                <c:pt idx="1">
                  <c:v>10911</c:v>
                </c:pt>
                <c:pt idx="2">
                  <c:v>15825</c:v>
                </c:pt>
                <c:pt idx="3">
                  <c:v>21237</c:v>
                </c:pt>
                <c:pt idx="4">
                  <c:v>26795</c:v>
                </c:pt>
                <c:pt idx="5">
                  <c:v>32139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49837456"/>
        <c:axId val="-49836912"/>
      </c:scatterChart>
      <c:valAx>
        <c:axId val="-49837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200" b="0" i="0" baseline="0">
                    <a:effectLst/>
                  </a:rPr>
                  <a:t>Conc. (ppm)</a:t>
                </a:r>
                <a:endParaRPr lang="en-IN" sz="7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49836912"/>
        <c:crosses val="autoZero"/>
        <c:crossBetween val="midCat"/>
      </c:valAx>
      <c:valAx>
        <c:axId val="-498369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200" b="0" i="0" baseline="0">
                    <a:effectLst/>
                  </a:rPr>
                  <a:t>Peak area</a:t>
                </a:r>
                <a:endParaRPr lang="en-IN" sz="7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498374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5978087225576624"/>
                  <c:y val="-8.780987305288828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'19-09-2025'!$F$21:$F$26</c:f>
              <c:numCache>
                <c:formatCode>0.0000</c:formatCode>
                <c:ptCount val="6"/>
                <c:pt idx="0">
                  <c:v>25.195500000000006</c:v>
                </c:pt>
                <c:pt idx="1">
                  <c:v>62.988749999999996</c:v>
                </c:pt>
                <c:pt idx="2">
                  <c:v>94.483125000000001</c:v>
                </c:pt>
                <c:pt idx="3">
                  <c:v>125.97749999999999</c:v>
                </c:pt>
                <c:pt idx="4">
                  <c:v>157.47187499999998</c:v>
                </c:pt>
                <c:pt idx="5">
                  <c:v>188.96625</c:v>
                </c:pt>
              </c:numCache>
            </c:numRef>
          </c:xVal>
          <c:yVal>
            <c:numRef>
              <c:f>'19-09-2025'!$H$21:$H$26</c:f>
              <c:numCache>
                <c:formatCode>General</c:formatCode>
                <c:ptCount val="6"/>
                <c:pt idx="0">
                  <c:v>3118</c:v>
                </c:pt>
                <c:pt idx="1">
                  <c:v>8474</c:v>
                </c:pt>
                <c:pt idx="2">
                  <c:v>11575</c:v>
                </c:pt>
                <c:pt idx="3">
                  <c:v>15068</c:v>
                </c:pt>
                <c:pt idx="4">
                  <c:v>18658</c:v>
                </c:pt>
                <c:pt idx="5">
                  <c:v>20784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49835824"/>
        <c:axId val="-314667360"/>
      </c:scatterChart>
      <c:valAx>
        <c:axId val="-49835824"/>
        <c:scaling>
          <c:orientation val="minMax"/>
        </c:scaling>
        <c:delete val="0"/>
        <c:axPos val="b"/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14667360"/>
        <c:crosses val="autoZero"/>
        <c:crossBetween val="midCat"/>
      </c:valAx>
      <c:valAx>
        <c:axId val="-3146673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498358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66675</xdr:colOff>
      <xdr:row>6</xdr:row>
      <xdr:rowOff>104775</xdr:rowOff>
    </xdr:from>
    <xdr:to>
      <xdr:col>12</xdr:col>
      <xdr:colOff>1495424</xdr:colOff>
      <xdr:row>8</xdr:row>
      <xdr:rowOff>104775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82825" y="1038225"/>
          <a:ext cx="1428749" cy="4000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652462</xdr:colOff>
      <xdr:row>32</xdr:row>
      <xdr:rowOff>4762</xdr:rowOff>
    </xdr:from>
    <xdr:to>
      <xdr:col>12</xdr:col>
      <xdr:colOff>1238250</xdr:colOff>
      <xdr:row>42</xdr:row>
      <xdr:rowOff>152400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609600</xdr:colOff>
      <xdr:row>45</xdr:row>
      <xdr:rowOff>19050</xdr:rowOff>
    </xdr:from>
    <xdr:to>
      <xdr:col>12</xdr:col>
      <xdr:colOff>1333500</xdr:colOff>
      <xdr:row>56</xdr:row>
      <xdr:rowOff>19050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619125</xdr:colOff>
      <xdr:row>56</xdr:row>
      <xdr:rowOff>171450</xdr:rowOff>
    </xdr:from>
    <xdr:to>
      <xdr:col>12</xdr:col>
      <xdr:colOff>1343025</xdr:colOff>
      <xdr:row>68</xdr:row>
      <xdr:rowOff>171450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714375</xdr:colOff>
      <xdr:row>71</xdr:row>
      <xdr:rowOff>180975</xdr:rowOff>
    </xdr:from>
    <xdr:to>
      <xdr:col>12</xdr:col>
      <xdr:colOff>1438275</xdr:colOff>
      <xdr:row>83</xdr:row>
      <xdr:rowOff>180975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762000</xdr:colOff>
      <xdr:row>84</xdr:row>
      <xdr:rowOff>152400</xdr:rowOff>
    </xdr:from>
    <xdr:to>
      <xdr:col>12</xdr:col>
      <xdr:colOff>1485900</xdr:colOff>
      <xdr:row>96</xdr:row>
      <xdr:rowOff>152400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657225</xdr:colOff>
      <xdr:row>98</xdr:row>
      <xdr:rowOff>0</xdr:rowOff>
    </xdr:from>
    <xdr:to>
      <xdr:col>12</xdr:col>
      <xdr:colOff>1381125</xdr:colOff>
      <xdr:row>109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561134</xdr:colOff>
      <xdr:row>19</xdr:row>
      <xdr:rowOff>0</xdr:rowOff>
    </xdr:from>
    <xdr:to>
      <xdr:col>12</xdr:col>
      <xdr:colOff>908797</xdr:colOff>
      <xdr:row>31</xdr:row>
      <xdr:rowOff>135591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295275</xdr:colOff>
      <xdr:row>4</xdr:row>
      <xdr:rowOff>180975</xdr:rowOff>
    </xdr:from>
    <xdr:to>
      <xdr:col>6</xdr:col>
      <xdr:colOff>1724024</xdr:colOff>
      <xdr:row>7</xdr:row>
      <xdr:rowOff>0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15575" y="952500"/>
          <a:ext cx="1428749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X193"/>
  <sheetViews>
    <sheetView tabSelected="1" view="pageBreakPreview" topLeftCell="B70" zoomScale="60" zoomScaleNormal="85" workbookViewId="0">
      <selection activeCell="G16" sqref="G16"/>
    </sheetView>
  </sheetViews>
  <sheetFormatPr defaultRowHeight="15" x14ac:dyDescent="0.25"/>
  <cols>
    <col min="1" max="1" width="9.140625" style="40"/>
    <col min="2" max="2" width="13" style="40" customWidth="1"/>
    <col min="3" max="3" width="11.42578125" style="40" bestFit="1" customWidth="1"/>
    <col min="4" max="5" width="28.42578125" style="40" bestFit="1" customWidth="1"/>
    <col min="6" max="6" width="24.85546875" style="40" customWidth="1"/>
    <col min="7" max="7" width="19.42578125" style="40" customWidth="1"/>
    <col min="8" max="8" width="19.7109375" style="40" customWidth="1"/>
    <col min="9" max="9" width="16.7109375" style="40" customWidth="1"/>
    <col min="10" max="10" width="18" style="40" customWidth="1"/>
    <col min="11" max="11" width="15.7109375" style="40" customWidth="1"/>
    <col min="12" max="12" width="18.85546875" style="40" customWidth="1"/>
    <col min="13" max="13" width="23.85546875" style="40" customWidth="1"/>
    <col min="14" max="14" width="9.140625" style="40" customWidth="1"/>
    <col min="15" max="15" width="21.85546875" style="40" customWidth="1"/>
    <col min="16" max="16" width="12.85546875" style="40" customWidth="1"/>
    <col min="17" max="17" width="15.7109375" style="40" customWidth="1"/>
    <col min="18" max="18" width="13.42578125" style="40" customWidth="1"/>
    <col min="19" max="19" width="11.5703125" style="40" customWidth="1"/>
    <col min="20" max="20" width="9.140625" style="40"/>
    <col min="21" max="21" width="13.7109375" style="40" customWidth="1"/>
    <col min="22" max="23" width="18.28515625" style="40" customWidth="1"/>
    <col min="24" max="24" width="16.28515625" style="40" customWidth="1"/>
    <col min="25" max="16384" width="9.140625" style="40"/>
  </cols>
  <sheetData>
    <row r="4" spans="5:24" ht="12.75" customHeight="1" thickBot="1" x14ac:dyDescent="0.3">
      <c r="V4" s="107" t="s">
        <v>2</v>
      </c>
      <c r="W4" s="107"/>
      <c r="X4" s="107"/>
    </row>
    <row r="5" spans="5:24" ht="15.75" hidden="1" thickBot="1" x14ac:dyDescent="0.3">
      <c r="V5" s="108"/>
      <c r="W5" s="108"/>
      <c r="X5" s="108"/>
    </row>
    <row r="6" spans="5:24" ht="15.75" thickBot="1" x14ac:dyDescent="0.3">
      <c r="E6" s="109" t="s">
        <v>6</v>
      </c>
      <c r="F6" s="110"/>
      <c r="G6" s="110"/>
      <c r="H6" s="110"/>
      <c r="I6" s="110"/>
      <c r="J6" s="110"/>
      <c r="K6" s="110"/>
      <c r="L6" s="111"/>
      <c r="M6" s="112"/>
      <c r="O6" s="115"/>
      <c r="P6" s="115"/>
      <c r="Q6" s="115"/>
      <c r="R6" s="115"/>
      <c r="S6" s="115"/>
      <c r="T6" s="115"/>
      <c r="U6" s="115"/>
      <c r="V6" s="91"/>
      <c r="W6" s="91"/>
      <c r="X6" s="91"/>
    </row>
    <row r="7" spans="5:24" ht="15.75" thickBot="1" x14ac:dyDescent="0.3">
      <c r="E7" s="93" t="s">
        <v>7</v>
      </c>
      <c r="F7" s="94"/>
      <c r="G7" s="94"/>
      <c r="H7" s="94"/>
      <c r="I7" s="94"/>
      <c r="J7" s="94"/>
      <c r="K7" s="94"/>
      <c r="L7" s="95"/>
      <c r="M7" s="113"/>
      <c r="O7" s="115"/>
      <c r="P7" s="60"/>
      <c r="Q7" s="60"/>
      <c r="R7" s="60"/>
      <c r="S7" s="60"/>
      <c r="T7" s="60"/>
      <c r="U7" s="60"/>
      <c r="V7" s="91"/>
      <c r="W7" s="91"/>
      <c r="X7" s="91"/>
    </row>
    <row r="8" spans="5:24" ht="15.75" thickBot="1" x14ac:dyDescent="0.3">
      <c r="E8" s="13" t="s">
        <v>11</v>
      </c>
      <c r="F8" s="96" t="s">
        <v>85</v>
      </c>
      <c r="G8" s="97"/>
      <c r="H8" s="97"/>
      <c r="I8" s="97"/>
      <c r="J8" s="97"/>
      <c r="K8" s="97"/>
      <c r="L8" s="98"/>
      <c r="M8" s="113"/>
      <c r="O8" s="115"/>
      <c r="P8" s="60"/>
      <c r="Q8" s="60"/>
      <c r="R8" s="60"/>
      <c r="S8" s="60"/>
      <c r="T8" s="60"/>
      <c r="U8" s="60"/>
      <c r="V8" s="91"/>
      <c r="W8" s="91"/>
      <c r="X8" s="91"/>
    </row>
    <row r="9" spans="5:24" ht="15.75" thickBot="1" x14ac:dyDescent="0.3">
      <c r="E9" s="12" t="s">
        <v>10</v>
      </c>
      <c r="F9" s="99" t="s">
        <v>86</v>
      </c>
      <c r="G9" s="100"/>
      <c r="H9" s="100"/>
      <c r="I9" s="100"/>
      <c r="J9" s="100"/>
      <c r="K9" s="100"/>
      <c r="L9" s="101"/>
      <c r="M9" s="113"/>
      <c r="O9" s="115"/>
      <c r="P9" s="60"/>
      <c r="Q9" s="60"/>
      <c r="R9" s="60"/>
      <c r="S9" s="60"/>
      <c r="T9" s="60"/>
      <c r="U9" s="60"/>
      <c r="V9" s="91"/>
      <c r="W9" s="91"/>
      <c r="X9" s="91"/>
    </row>
    <row r="10" spans="5:24" ht="21.75" customHeight="1" thickBot="1" x14ac:dyDescent="0.3">
      <c r="E10" s="12" t="s">
        <v>9</v>
      </c>
      <c r="F10" s="99" t="s">
        <v>8</v>
      </c>
      <c r="G10" s="100"/>
      <c r="H10" s="100"/>
      <c r="I10" s="100"/>
      <c r="J10" s="100"/>
      <c r="K10" s="100"/>
      <c r="L10" s="102"/>
      <c r="M10" s="114"/>
      <c r="O10" s="115"/>
      <c r="P10" s="60"/>
      <c r="Q10" s="60"/>
      <c r="R10" s="60"/>
      <c r="S10" s="60"/>
      <c r="T10" s="60"/>
      <c r="U10" s="60"/>
      <c r="V10" s="91"/>
      <c r="W10" s="91"/>
      <c r="X10" s="91"/>
    </row>
    <row r="11" spans="5:24" ht="15.75" thickBot="1" x14ac:dyDescent="0.3">
      <c r="E11" s="18" t="s">
        <v>3</v>
      </c>
      <c r="F11" s="103" t="s">
        <v>12</v>
      </c>
      <c r="G11" s="104"/>
      <c r="H11" s="104"/>
      <c r="I11" s="104"/>
      <c r="J11" s="105"/>
      <c r="K11" s="106"/>
      <c r="L11" s="14" t="s">
        <v>4</v>
      </c>
      <c r="M11" s="15">
        <v>45919</v>
      </c>
      <c r="O11" s="60"/>
      <c r="P11" s="60"/>
      <c r="Q11" s="60"/>
      <c r="R11" s="60"/>
      <c r="S11" s="60"/>
      <c r="T11" s="60"/>
      <c r="U11" s="60"/>
      <c r="V11" s="59"/>
      <c r="W11" s="59"/>
      <c r="X11" s="59"/>
    </row>
    <row r="12" spans="5:24" x14ac:dyDescent="0.25">
      <c r="E12" s="139" t="s">
        <v>13</v>
      </c>
      <c r="F12" s="88" t="s">
        <v>30</v>
      </c>
      <c r="G12" s="88" t="s">
        <v>31</v>
      </c>
      <c r="H12" s="88" t="s">
        <v>16</v>
      </c>
      <c r="I12" s="88" t="s">
        <v>32</v>
      </c>
      <c r="J12" s="25" t="s">
        <v>28</v>
      </c>
      <c r="K12" s="25" t="s">
        <v>33</v>
      </c>
      <c r="L12" s="22" t="s">
        <v>34</v>
      </c>
      <c r="M12" s="140"/>
      <c r="O12" s="60"/>
      <c r="P12" s="60"/>
      <c r="Q12" s="60"/>
      <c r="R12" s="60"/>
      <c r="S12" s="60"/>
      <c r="T12" s="60"/>
      <c r="U12" s="60"/>
      <c r="V12" s="59"/>
      <c r="W12" s="59"/>
      <c r="X12" s="59"/>
    </row>
    <row r="13" spans="5:24" x14ac:dyDescent="0.25">
      <c r="E13" s="139" t="s">
        <v>29</v>
      </c>
      <c r="F13" s="88"/>
      <c r="G13" s="19"/>
      <c r="H13" s="19"/>
      <c r="I13" s="88"/>
      <c r="J13" s="88"/>
      <c r="K13" s="88"/>
      <c r="L13" s="43"/>
      <c r="M13" s="140"/>
      <c r="O13" s="60"/>
      <c r="P13" s="60"/>
      <c r="Q13" s="60"/>
      <c r="R13" s="60"/>
      <c r="S13" s="60"/>
      <c r="T13" s="60"/>
      <c r="U13" s="60"/>
      <c r="V13" s="59"/>
      <c r="W13" s="59"/>
      <c r="X13" s="59"/>
    </row>
    <row r="14" spans="5:24" x14ac:dyDescent="0.25">
      <c r="E14" s="139" t="s">
        <v>15</v>
      </c>
      <c r="F14" s="88">
        <v>99</v>
      </c>
      <c r="G14" s="31">
        <v>98</v>
      </c>
      <c r="H14" s="31">
        <v>98</v>
      </c>
      <c r="I14" s="88">
        <v>98.63</v>
      </c>
      <c r="J14" s="88">
        <v>97.16</v>
      </c>
      <c r="K14" s="31">
        <v>97</v>
      </c>
      <c r="L14" s="31">
        <v>99.99</v>
      </c>
      <c r="M14" s="140"/>
      <c r="O14" s="60"/>
      <c r="P14" s="60"/>
      <c r="Q14" s="60"/>
      <c r="R14" s="60"/>
      <c r="S14" s="60"/>
      <c r="T14" s="60"/>
      <c r="U14" s="60"/>
      <c r="V14" s="59"/>
      <c r="W14" s="59"/>
      <c r="X14" s="59"/>
    </row>
    <row r="15" spans="5:24" x14ac:dyDescent="0.25">
      <c r="E15" s="139" t="s">
        <v>14</v>
      </c>
      <c r="F15" s="88">
        <v>10.18</v>
      </c>
      <c r="G15" s="88">
        <v>10.130000000000001</v>
      </c>
      <c r="H15" s="88">
        <v>10.41</v>
      </c>
      <c r="I15" s="88">
        <v>10.79</v>
      </c>
      <c r="J15" s="88">
        <v>5.88</v>
      </c>
      <c r="K15" s="88">
        <v>13.23</v>
      </c>
      <c r="L15" s="88">
        <v>12.67</v>
      </c>
      <c r="M15" s="140"/>
      <c r="O15" s="60"/>
      <c r="P15" s="60"/>
      <c r="Q15" s="60"/>
      <c r="R15" s="60"/>
      <c r="S15" s="60"/>
      <c r="T15" s="60"/>
      <c r="U15" s="60"/>
      <c r="V15" s="59"/>
      <c r="W15" s="59"/>
      <c r="X15" s="59"/>
    </row>
    <row r="16" spans="5:24" x14ac:dyDescent="0.25">
      <c r="E16" s="139" t="s">
        <v>19</v>
      </c>
      <c r="F16" s="88">
        <v>20</v>
      </c>
      <c r="G16" s="88">
        <v>20</v>
      </c>
      <c r="H16" s="88">
        <v>20</v>
      </c>
      <c r="I16" s="88">
        <v>20</v>
      </c>
      <c r="J16" s="88">
        <v>10</v>
      </c>
      <c r="K16" s="88">
        <v>20</v>
      </c>
      <c r="L16" s="88">
        <v>20</v>
      </c>
      <c r="M16" s="140"/>
      <c r="O16" s="60"/>
      <c r="P16" s="60"/>
      <c r="Q16" s="60"/>
      <c r="R16" s="60"/>
      <c r="S16" s="60"/>
      <c r="T16" s="60"/>
      <c r="U16" s="60"/>
      <c r="V16" s="59"/>
      <c r="W16" s="59"/>
      <c r="X16" s="59"/>
    </row>
    <row r="17" spans="3:24" x14ac:dyDescent="0.25">
      <c r="E17" s="139" t="s">
        <v>20</v>
      </c>
      <c r="F17" s="88">
        <v>2.5</v>
      </c>
      <c r="G17" s="88">
        <v>2.5</v>
      </c>
      <c r="H17" s="88">
        <v>2.5</v>
      </c>
      <c r="I17" s="88">
        <v>2.5</v>
      </c>
      <c r="J17" s="88">
        <v>2.5</v>
      </c>
      <c r="K17" s="88">
        <v>1</v>
      </c>
      <c r="L17" s="88">
        <v>1</v>
      </c>
      <c r="M17" s="140"/>
      <c r="O17" s="60"/>
      <c r="P17" s="60"/>
      <c r="Q17" s="60"/>
      <c r="R17" s="60"/>
      <c r="S17" s="60"/>
      <c r="T17" s="60"/>
      <c r="U17" s="60"/>
      <c r="V17" s="59"/>
      <c r="W17" s="59"/>
      <c r="X17" s="59"/>
    </row>
    <row r="18" spans="3:24" x14ac:dyDescent="0.25">
      <c r="E18" s="139" t="s">
        <v>21</v>
      </c>
      <c r="F18" s="88">
        <v>100</v>
      </c>
      <c r="G18" s="88">
        <v>100</v>
      </c>
      <c r="H18" s="88">
        <v>100</v>
      </c>
      <c r="I18" s="88">
        <v>100</v>
      </c>
      <c r="J18" s="88">
        <v>100</v>
      </c>
      <c r="K18" s="88">
        <v>100</v>
      </c>
      <c r="L18" s="88">
        <v>100</v>
      </c>
      <c r="M18" s="140"/>
      <c r="O18" s="60"/>
      <c r="P18" s="60"/>
      <c r="Q18" s="60"/>
      <c r="R18" s="60"/>
      <c r="S18" s="60"/>
      <c r="T18" s="60"/>
      <c r="U18" s="60"/>
      <c r="V18" s="59"/>
      <c r="W18" s="59"/>
      <c r="X18" s="59"/>
    </row>
    <row r="19" spans="3:24" x14ac:dyDescent="0.25">
      <c r="E19" s="141"/>
      <c r="F19" s="17"/>
      <c r="G19" s="11"/>
      <c r="H19" s="11"/>
      <c r="I19" s="11"/>
      <c r="J19" s="11"/>
      <c r="K19" s="11"/>
      <c r="L19" s="11"/>
      <c r="M19" s="142"/>
      <c r="O19" s="60"/>
      <c r="P19" s="60"/>
      <c r="Q19" s="60"/>
      <c r="R19" s="60"/>
      <c r="S19" s="60"/>
      <c r="T19" s="60"/>
      <c r="U19" s="60"/>
      <c r="V19" s="59"/>
      <c r="W19" s="59"/>
      <c r="X19" s="59"/>
    </row>
    <row r="20" spans="3:24" ht="31.5" customHeight="1" x14ac:dyDescent="0.25">
      <c r="E20" s="139" t="str">
        <f>F12</f>
        <v>TABA</v>
      </c>
      <c r="F20" s="20" t="s">
        <v>44</v>
      </c>
      <c r="G20" s="20" t="s">
        <v>17</v>
      </c>
      <c r="H20" s="20" t="s">
        <v>18</v>
      </c>
      <c r="I20" s="21" t="s">
        <v>5</v>
      </c>
      <c r="J20" s="16"/>
      <c r="K20" s="16"/>
      <c r="L20" s="11"/>
      <c r="M20" s="142"/>
      <c r="N20" s="1"/>
      <c r="O20" s="60"/>
      <c r="P20" s="60"/>
      <c r="Q20" s="60"/>
      <c r="R20" s="60"/>
      <c r="S20" s="60"/>
      <c r="T20" s="60"/>
      <c r="U20" s="60"/>
      <c r="V20" s="59"/>
      <c r="W20" s="59"/>
      <c r="X20" s="59"/>
    </row>
    <row r="21" spans="3:24" ht="24.75" customHeight="1" x14ac:dyDescent="0.25">
      <c r="C21" s="8">
        <f>$F$15/$F$16*2.5/100*0.2/25*1/4*$F$14/100*100</f>
        <v>2.5195500000000006E-3</v>
      </c>
      <c r="D21" s="63">
        <f>C21*3.3/10</f>
        <v>8.3145150000000015E-4</v>
      </c>
      <c r="E21" s="143" t="s">
        <v>27</v>
      </c>
      <c r="F21" s="8">
        <f>$F$15/$F$16*2.5/100*0.2/25*1/4*$F$14/100*1000000</f>
        <v>25.195500000000006</v>
      </c>
      <c r="G21" s="88">
        <v>3118</v>
      </c>
      <c r="H21" s="88">
        <v>3118</v>
      </c>
      <c r="I21" s="42">
        <f>(G21+H21)/2</f>
        <v>3118</v>
      </c>
      <c r="J21" s="16"/>
      <c r="K21" s="16"/>
      <c r="L21" s="11"/>
      <c r="M21" s="142"/>
      <c r="N21" s="1"/>
      <c r="O21" s="60"/>
      <c r="P21" s="60"/>
      <c r="Q21" s="60"/>
      <c r="R21" s="60"/>
      <c r="S21" s="60"/>
      <c r="T21" s="60"/>
      <c r="U21" s="60"/>
      <c r="V21" s="59"/>
      <c r="W21" s="59"/>
      <c r="X21" s="59"/>
    </row>
    <row r="22" spans="3:24" x14ac:dyDescent="0.25">
      <c r="C22" s="8">
        <f>$F$15/$F$16*$F$17/$F$18*0.5/25*1/4*$F$14/100*100</f>
        <v>6.2988749999999998E-3</v>
      </c>
      <c r="E22" s="143" t="s">
        <v>22</v>
      </c>
      <c r="F22" s="8">
        <f>$F$15/$F$16*$F$17/$F$18*0.5/25*1/4*$F$14/100*1000000</f>
        <v>62.988749999999996</v>
      </c>
      <c r="G22" s="88">
        <v>8474</v>
      </c>
      <c r="H22" s="88">
        <v>8474</v>
      </c>
      <c r="I22" s="42">
        <f t="shared" ref="I22:I26" si="0">(G22+H22)/2</f>
        <v>8474</v>
      </c>
      <c r="J22" s="16"/>
      <c r="K22" s="16"/>
      <c r="L22" s="11"/>
      <c r="M22" s="142"/>
      <c r="N22" s="1"/>
      <c r="O22" s="60"/>
      <c r="P22" s="60"/>
      <c r="Q22" s="60"/>
      <c r="R22" s="60"/>
      <c r="S22" s="60"/>
      <c r="T22" s="60"/>
      <c r="U22" s="60"/>
      <c r="V22" s="59"/>
      <c r="W22" s="59"/>
      <c r="X22" s="59"/>
    </row>
    <row r="23" spans="3:24" x14ac:dyDescent="0.25">
      <c r="C23" s="8">
        <f>$F$15/$F$16*$F$17/$F$18*0.75/25*1/4*$F$14/100*100</f>
        <v>9.4483125000000001E-3</v>
      </c>
      <c r="E23" s="143" t="s">
        <v>23</v>
      </c>
      <c r="F23" s="8">
        <f>$F$15/$F$16*$F$17/$F$18*0.75/25*1/4*$F$14/100*1000000</f>
        <v>94.483125000000001</v>
      </c>
      <c r="G23" s="88">
        <v>11575</v>
      </c>
      <c r="H23" s="88">
        <v>11575</v>
      </c>
      <c r="I23" s="42">
        <f t="shared" si="0"/>
        <v>11575</v>
      </c>
      <c r="J23" s="16"/>
      <c r="K23" s="16"/>
      <c r="L23" s="11"/>
      <c r="M23" s="142"/>
      <c r="N23" s="1"/>
      <c r="O23" s="60"/>
      <c r="P23" s="60"/>
      <c r="Q23" s="60"/>
      <c r="R23" s="60"/>
      <c r="S23" s="60"/>
      <c r="T23" s="60"/>
      <c r="U23" s="60"/>
      <c r="V23" s="59"/>
      <c r="W23" s="59"/>
      <c r="X23" s="59"/>
    </row>
    <row r="24" spans="3:24" x14ac:dyDescent="0.25">
      <c r="C24" s="8">
        <f>$F$15/$F$16*$F$17/$F$18*1/25*1/4*$F$14/100*100</f>
        <v>1.259775E-2</v>
      </c>
      <c r="E24" s="143" t="s">
        <v>24</v>
      </c>
      <c r="F24" s="8">
        <f>$F$15/$F$16*$F$17/$F$18*1/25*1/4*$F$14/100*1000000</f>
        <v>125.97749999999999</v>
      </c>
      <c r="G24" s="88">
        <v>15068</v>
      </c>
      <c r="H24" s="88">
        <v>15068</v>
      </c>
      <c r="I24" s="42">
        <f t="shared" si="0"/>
        <v>15068</v>
      </c>
      <c r="J24" s="16"/>
      <c r="K24" s="16"/>
      <c r="L24" s="11"/>
      <c r="M24" s="142"/>
      <c r="N24" s="1"/>
      <c r="O24" s="60"/>
      <c r="P24" s="60"/>
      <c r="Q24" s="60"/>
      <c r="R24" s="60"/>
      <c r="S24" s="60"/>
      <c r="T24" s="60"/>
      <c r="U24" s="60"/>
      <c r="V24" s="59"/>
      <c r="W24" s="59"/>
      <c r="X24" s="59"/>
    </row>
    <row r="25" spans="3:24" x14ac:dyDescent="0.25">
      <c r="C25" s="8">
        <f>$F$15/$F$16*$F$17/$F$18*1.25/25*1/4*$F$14/100*100</f>
        <v>1.5747187499999999E-2</v>
      </c>
      <c r="E25" s="143" t="s">
        <v>25</v>
      </c>
      <c r="F25" s="8">
        <f>$F$15/$F$16*$F$17/$F$18*1.25/25*1/4*$F$14/100*1000000</f>
        <v>157.47187499999998</v>
      </c>
      <c r="G25" s="88">
        <v>18658</v>
      </c>
      <c r="H25" s="88">
        <v>18658</v>
      </c>
      <c r="I25" s="42">
        <f t="shared" si="0"/>
        <v>18658</v>
      </c>
      <c r="J25" s="16"/>
      <c r="K25" s="16"/>
      <c r="L25" s="11"/>
      <c r="M25" s="142"/>
      <c r="N25" s="1"/>
      <c r="O25" s="60"/>
      <c r="P25" s="60"/>
      <c r="Q25" s="60"/>
      <c r="R25" s="60"/>
      <c r="S25" s="60"/>
      <c r="T25" s="60"/>
      <c r="U25" s="60"/>
      <c r="V25" s="59"/>
      <c r="W25" s="59"/>
      <c r="X25" s="59"/>
    </row>
    <row r="26" spans="3:24" x14ac:dyDescent="0.25">
      <c r="C26" s="8">
        <f>$F$15/$F$16*$F$17/$F$18*1.5/25*1/4*$F$14/100*100</f>
        <v>1.8896625E-2</v>
      </c>
      <c r="E26" s="143" t="s">
        <v>26</v>
      </c>
      <c r="F26" s="8">
        <f>$F$15/$F$16*$F$17/$F$18*1.5/25*1/4*$F$14/100*1000000</f>
        <v>188.96625</v>
      </c>
      <c r="G26" s="88">
        <v>20784</v>
      </c>
      <c r="H26" s="88">
        <v>20784</v>
      </c>
      <c r="I26" s="42">
        <f t="shared" si="0"/>
        <v>20784</v>
      </c>
      <c r="J26" s="16"/>
      <c r="K26" s="16"/>
      <c r="L26" s="11"/>
      <c r="M26" s="142"/>
      <c r="N26" s="1"/>
      <c r="O26" s="60"/>
      <c r="P26" s="60"/>
      <c r="Q26" s="60"/>
      <c r="R26" s="60"/>
      <c r="S26" s="60"/>
      <c r="T26" s="60"/>
      <c r="U26" s="60"/>
      <c r="V26" s="59"/>
      <c r="W26" s="59"/>
      <c r="X26" s="59"/>
    </row>
    <row r="27" spans="3:24" x14ac:dyDescent="0.25">
      <c r="E27" s="144" t="s">
        <v>39</v>
      </c>
      <c r="F27" s="90"/>
      <c r="G27" s="90"/>
      <c r="H27" s="90"/>
      <c r="I27" s="32">
        <f>CORREL(F21:F26,I21:I26)</f>
        <v>0.99576341804816781</v>
      </c>
      <c r="J27" s="26"/>
      <c r="K27" s="26"/>
      <c r="L27" s="26"/>
      <c r="M27" s="145"/>
      <c r="N27" s="26"/>
      <c r="O27" s="26"/>
      <c r="P27" s="91"/>
      <c r="Q27" s="91"/>
      <c r="R27" s="91"/>
      <c r="S27" s="91"/>
      <c r="T27" s="91"/>
      <c r="U27" s="91"/>
      <c r="V27" s="2"/>
      <c r="W27" s="60"/>
      <c r="X27" s="3"/>
    </row>
    <row r="28" spans="3:24" x14ac:dyDescent="0.25">
      <c r="E28" s="144" t="s">
        <v>0</v>
      </c>
      <c r="F28" s="90"/>
      <c r="G28" s="90"/>
      <c r="H28" s="90"/>
      <c r="I28" s="32">
        <f>I27*I27</f>
        <v>0.99154478472297025</v>
      </c>
      <c r="J28" s="23"/>
      <c r="K28" s="11"/>
      <c r="L28" s="23"/>
      <c r="M28" s="146"/>
      <c r="N28" s="23"/>
      <c r="O28" s="11"/>
      <c r="P28" s="91"/>
      <c r="Q28" s="91"/>
      <c r="R28" s="91"/>
      <c r="S28" s="91"/>
      <c r="T28" s="91"/>
      <c r="U28" s="91"/>
      <c r="V28" s="4"/>
      <c r="W28" s="60"/>
      <c r="X28" s="3"/>
    </row>
    <row r="29" spans="3:24" x14ac:dyDescent="0.25">
      <c r="E29" s="144" t="s">
        <v>1</v>
      </c>
      <c r="F29" s="90"/>
      <c r="G29" s="90"/>
      <c r="H29" s="90"/>
      <c r="I29" s="33">
        <f>SLOPE(I21:I26,F21:F26)</f>
        <v>108.19529409514003</v>
      </c>
      <c r="J29" s="23"/>
      <c r="K29" s="11"/>
      <c r="L29" s="23"/>
      <c r="M29" s="146"/>
      <c r="N29" s="23"/>
      <c r="O29" s="11"/>
      <c r="P29" s="91"/>
      <c r="Q29" s="91"/>
      <c r="R29" s="91"/>
      <c r="S29" s="91"/>
      <c r="T29" s="91"/>
      <c r="U29" s="91"/>
      <c r="V29" s="4"/>
      <c r="W29" s="60"/>
      <c r="X29" s="3"/>
    </row>
    <row r="30" spans="3:24" x14ac:dyDescent="0.25">
      <c r="E30" s="144" t="s">
        <v>37</v>
      </c>
      <c r="F30" s="90"/>
      <c r="G30" s="90"/>
      <c r="H30" s="90"/>
      <c r="I30" s="34">
        <f>INTERCEPT(I21:I26,F21:F26)</f>
        <v>1133.3503597122326</v>
      </c>
      <c r="J30" s="23"/>
      <c r="K30" s="11"/>
      <c r="L30" s="23"/>
      <c r="M30" s="146"/>
      <c r="N30" s="23"/>
      <c r="O30" s="11"/>
      <c r="P30" s="1"/>
      <c r="Q30" s="1"/>
      <c r="R30" s="1"/>
      <c r="S30" s="1"/>
      <c r="T30" s="1"/>
      <c r="U30" s="1"/>
      <c r="V30" s="4"/>
      <c r="W30" s="6"/>
      <c r="X30" s="3"/>
    </row>
    <row r="31" spans="3:24" x14ac:dyDescent="0.25">
      <c r="E31" s="144" t="s">
        <v>38</v>
      </c>
      <c r="F31" s="90"/>
      <c r="G31" s="90"/>
      <c r="H31" s="90"/>
      <c r="I31" s="28">
        <f>I30/I24*100</f>
        <v>7.5215712749683608</v>
      </c>
      <c r="J31" s="23"/>
      <c r="K31" s="11"/>
      <c r="L31" s="23"/>
      <c r="M31" s="146"/>
      <c r="N31" s="23"/>
      <c r="O31" s="11"/>
      <c r="P31" s="1"/>
      <c r="Q31" s="1"/>
      <c r="R31" s="1"/>
      <c r="S31" s="1"/>
      <c r="T31" s="1"/>
      <c r="U31" s="1"/>
      <c r="V31" s="4"/>
      <c r="W31" s="6"/>
      <c r="X31" s="3"/>
    </row>
    <row r="32" spans="3:24" x14ac:dyDescent="0.25">
      <c r="E32" s="147"/>
      <c r="F32" s="1"/>
      <c r="G32" s="1"/>
      <c r="H32" s="1"/>
      <c r="I32" s="1"/>
      <c r="J32" s="23"/>
      <c r="K32" s="11"/>
      <c r="L32" s="23"/>
      <c r="M32" s="146"/>
      <c r="N32" s="23"/>
      <c r="O32" s="11"/>
      <c r="P32" s="1"/>
      <c r="Q32" s="1"/>
      <c r="R32" s="1"/>
      <c r="S32" s="1"/>
      <c r="T32" s="1"/>
      <c r="U32" s="1"/>
      <c r="V32" s="1"/>
      <c r="W32" s="1"/>
      <c r="X32" s="1"/>
    </row>
    <row r="33" spans="2:24" x14ac:dyDescent="0.25">
      <c r="E33" s="139" t="str">
        <f>G12</f>
        <v>4,4-DABA</v>
      </c>
      <c r="F33" s="20" t="s">
        <v>44</v>
      </c>
      <c r="G33" s="20" t="s">
        <v>17</v>
      </c>
      <c r="H33" s="20" t="s">
        <v>18</v>
      </c>
      <c r="I33" s="21" t="s">
        <v>5</v>
      </c>
      <c r="J33" s="23"/>
      <c r="K33" s="11"/>
      <c r="L33" s="23"/>
      <c r="M33" s="146"/>
      <c r="N33" s="23"/>
      <c r="O33" s="11"/>
      <c r="P33" s="1"/>
      <c r="Q33" s="1"/>
      <c r="R33" s="1"/>
      <c r="S33" s="1"/>
      <c r="T33" s="1"/>
      <c r="U33" s="1"/>
      <c r="V33" s="1"/>
      <c r="W33" s="1"/>
      <c r="X33" s="1"/>
    </row>
    <row r="34" spans="2:24" x14ac:dyDescent="0.25">
      <c r="C34" s="8">
        <f>$G$15/$G$16*2.5/100*0.2/25*1/4*$G$14/100*100</f>
        <v>2.4818499999999999E-3</v>
      </c>
      <c r="E34" s="143" t="s">
        <v>27</v>
      </c>
      <c r="F34" s="8">
        <f>$G$15/$G$16*2.5/100*0.2/25*1/4*$G$14/100*1000000</f>
        <v>24.8185</v>
      </c>
      <c r="G34" s="88">
        <v>4419</v>
      </c>
      <c r="H34" s="88">
        <v>4419</v>
      </c>
      <c r="I34" s="42">
        <f>(G34+H34)/2</f>
        <v>4419</v>
      </c>
      <c r="J34" s="23"/>
      <c r="K34" s="11"/>
      <c r="L34" s="23"/>
      <c r="M34" s="146"/>
      <c r="N34" s="23"/>
      <c r="O34" s="11"/>
      <c r="P34" s="1"/>
      <c r="Q34" s="1"/>
      <c r="R34" s="1"/>
      <c r="S34" s="1"/>
      <c r="T34" s="1"/>
      <c r="U34" s="1"/>
      <c r="V34" s="1"/>
      <c r="W34" s="1"/>
      <c r="X34" s="1"/>
    </row>
    <row r="35" spans="2:24" x14ac:dyDescent="0.25">
      <c r="C35" s="8">
        <f>$G$15/$G$16*$G$17/$G$18*0.5/25*1/4*$G$14/100*100</f>
        <v>6.2046250000000001E-3</v>
      </c>
      <c r="E35" s="143" t="s">
        <v>22</v>
      </c>
      <c r="F35" s="8">
        <f>$G$15/$G$16*$G$17/$G$18*0.5/25*1/4*$G$14/100*1000000</f>
        <v>62.046250000000001</v>
      </c>
      <c r="G35" s="88">
        <v>12798</v>
      </c>
      <c r="H35" s="88">
        <v>12798</v>
      </c>
      <c r="I35" s="42">
        <f t="shared" ref="I35:I39" si="1">(G35+H35)/2</f>
        <v>12798</v>
      </c>
      <c r="J35" s="23"/>
      <c r="K35" s="23"/>
      <c r="L35" s="23"/>
      <c r="M35" s="148"/>
      <c r="N35" s="23"/>
      <c r="O35" s="23"/>
      <c r="P35" s="91"/>
      <c r="Q35" s="91"/>
      <c r="R35" s="91"/>
      <c r="S35" s="1"/>
      <c r="T35" s="1"/>
      <c r="U35" s="1"/>
      <c r="V35" s="1"/>
      <c r="W35" s="1"/>
      <c r="X35" s="1"/>
    </row>
    <row r="36" spans="2:24" x14ac:dyDescent="0.25">
      <c r="C36" s="8">
        <f>$G$15/$G$16*$G$17/$G$18*0.75/25*1/4*$G$14/100*100</f>
        <v>9.306937500000001E-3</v>
      </c>
      <c r="E36" s="143" t="s">
        <v>23</v>
      </c>
      <c r="F36" s="8">
        <f>$G$15/$G$16*$G$17/$G$18*0.75/25*1/4*$G$14/100*1000000</f>
        <v>93.069375000000008</v>
      </c>
      <c r="G36" s="88">
        <v>18367</v>
      </c>
      <c r="H36" s="88">
        <v>18367</v>
      </c>
      <c r="I36" s="42">
        <f t="shared" si="1"/>
        <v>18367</v>
      </c>
      <c r="J36" s="23"/>
      <c r="K36" s="23"/>
      <c r="L36" s="23"/>
      <c r="M36" s="148"/>
      <c r="N36" s="23"/>
      <c r="O36" s="23"/>
      <c r="P36" s="91"/>
      <c r="Q36" s="91"/>
      <c r="R36" s="91"/>
      <c r="S36" s="1"/>
      <c r="T36" s="1"/>
      <c r="U36" s="1"/>
      <c r="V36" s="1"/>
      <c r="W36" s="1"/>
      <c r="X36" s="1"/>
    </row>
    <row r="37" spans="2:24" x14ac:dyDescent="0.25">
      <c r="C37" s="8">
        <f>$G$15/$G$16*$G$17/$G$18*1/25*1/4*$G$14/100*100</f>
        <v>1.240925E-2</v>
      </c>
      <c r="E37" s="143" t="s">
        <v>24</v>
      </c>
      <c r="F37" s="8">
        <f>$G$15/$G$16*$G$17/$G$18*1/25*1/4*$G$14/100*1000000</f>
        <v>124.0925</v>
      </c>
      <c r="G37" s="88">
        <v>23754</v>
      </c>
      <c r="H37" s="88">
        <v>23754</v>
      </c>
      <c r="I37" s="42">
        <f t="shared" si="1"/>
        <v>23754</v>
      </c>
      <c r="J37" s="23"/>
      <c r="K37" s="24"/>
      <c r="L37" s="23"/>
      <c r="M37" s="149"/>
      <c r="N37" s="23"/>
      <c r="O37" s="24"/>
      <c r="P37" s="92"/>
      <c r="Q37" s="91"/>
      <c r="R37" s="91"/>
      <c r="S37" s="1"/>
      <c r="T37" s="1"/>
      <c r="U37" s="1"/>
      <c r="V37" s="1"/>
      <c r="W37" s="1"/>
      <c r="X37" s="1"/>
    </row>
    <row r="38" spans="2:24" x14ac:dyDescent="0.25">
      <c r="C38" s="8">
        <f>$G$15/$G$16*$G$17/$G$18*1.25/25*1/4*$G$14/100*100</f>
        <v>1.5511562499999996E-2</v>
      </c>
      <c r="E38" s="143" t="s">
        <v>25</v>
      </c>
      <c r="F38" s="8">
        <f>$G$15/$G$16*$G$17/$G$18*1.25/25*1/4*$G$14/100*1000000</f>
        <v>155.11562499999997</v>
      </c>
      <c r="G38" s="88">
        <v>30031</v>
      </c>
      <c r="H38" s="88">
        <v>30031</v>
      </c>
      <c r="I38" s="42">
        <f t="shared" si="1"/>
        <v>30031</v>
      </c>
      <c r="J38" s="23"/>
      <c r="K38" s="11"/>
      <c r="L38" s="23"/>
      <c r="M38" s="146"/>
      <c r="N38" s="23"/>
      <c r="O38" s="11"/>
      <c r="P38" s="92"/>
      <c r="Q38" s="91"/>
      <c r="R38" s="91"/>
      <c r="S38" s="1"/>
      <c r="T38" s="1"/>
      <c r="U38" s="1"/>
      <c r="V38" s="1"/>
      <c r="W38" s="1"/>
      <c r="X38" s="1"/>
    </row>
    <row r="39" spans="2:24" x14ac:dyDescent="0.25">
      <c r="C39" s="8">
        <f>$G$15/$G$16*$G$17/$G$18*1.5/25*1/4*$G$14/100*100</f>
        <v>1.8613875000000002E-2</v>
      </c>
      <c r="E39" s="143" t="s">
        <v>26</v>
      </c>
      <c r="F39" s="8">
        <f>$G$15/$G$16*$G$17/$G$18*1.5/25*1/4*$G$14/100*1000000</f>
        <v>186.13875000000002</v>
      </c>
      <c r="G39" s="88">
        <v>36301</v>
      </c>
      <c r="H39" s="88">
        <v>36301</v>
      </c>
      <c r="I39" s="42">
        <f t="shared" si="1"/>
        <v>36301</v>
      </c>
      <c r="J39" s="11"/>
      <c r="K39" s="11"/>
      <c r="L39" s="11"/>
      <c r="M39" s="146"/>
      <c r="N39" s="1"/>
      <c r="O39" s="1"/>
      <c r="P39" s="4"/>
      <c r="Q39" s="60"/>
      <c r="R39" s="3"/>
      <c r="S39" s="1"/>
      <c r="T39" s="1"/>
      <c r="U39" s="1"/>
      <c r="V39" s="1"/>
      <c r="W39" s="1"/>
      <c r="X39" s="1"/>
    </row>
    <row r="40" spans="2:24" x14ac:dyDescent="0.25">
      <c r="E40" s="144" t="s">
        <v>39</v>
      </c>
      <c r="F40" s="90"/>
      <c r="G40" s="90"/>
      <c r="H40" s="90"/>
      <c r="I40" s="8">
        <f>CORREL(F34:F39,I34:I39)</f>
        <v>0.9993038346087062</v>
      </c>
      <c r="J40" s="11"/>
      <c r="K40" s="11"/>
      <c r="L40" s="11"/>
      <c r="M40" s="146"/>
      <c r="N40" s="1"/>
      <c r="O40" s="1"/>
      <c r="P40" s="4"/>
      <c r="Q40" s="4"/>
      <c r="R40" s="3"/>
      <c r="S40" s="1"/>
      <c r="T40" s="1"/>
      <c r="U40" s="1"/>
      <c r="V40" s="1"/>
      <c r="W40" s="1"/>
      <c r="X40" s="1"/>
    </row>
    <row r="41" spans="2:24" x14ac:dyDescent="0.25">
      <c r="E41" s="144" t="s">
        <v>0</v>
      </c>
      <c r="F41" s="90"/>
      <c r="G41" s="90"/>
      <c r="H41" s="90"/>
      <c r="I41" s="8">
        <f>I40*I40</f>
        <v>0.99860815386366442</v>
      </c>
      <c r="J41" s="11"/>
      <c r="K41" s="11"/>
      <c r="L41" s="11"/>
      <c r="M41" s="146"/>
      <c r="N41" s="1"/>
      <c r="O41" s="1"/>
      <c r="P41" s="4"/>
      <c r="Q41" s="5"/>
      <c r="R41" s="3"/>
      <c r="S41" s="1"/>
      <c r="T41" s="1"/>
      <c r="U41" s="1"/>
      <c r="V41" s="1"/>
      <c r="W41" s="1"/>
      <c r="X41" s="1"/>
    </row>
    <row r="42" spans="2:24" x14ac:dyDescent="0.25">
      <c r="E42" s="144" t="s">
        <v>1</v>
      </c>
      <c r="F42" s="90"/>
      <c r="G42" s="90"/>
      <c r="H42" s="90"/>
      <c r="I42" s="30">
        <f>SLOPE(I34:I39,F34:F39)</f>
        <v>194.01841542258674</v>
      </c>
      <c r="J42" s="10"/>
      <c r="K42" s="10"/>
      <c r="L42" s="10"/>
      <c r="M42" s="150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2:24" x14ac:dyDescent="0.25">
      <c r="E43" s="144" t="s">
        <v>37</v>
      </c>
      <c r="F43" s="90"/>
      <c r="G43" s="90"/>
      <c r="H43" s="90"/>
      <c r="I43" s="29">
        <f>INTERCEPT(I34:I39,F34:F39)</f>
        <v>78.933812949635467</v>
      </c>
      <c r="J43" s="10"/>
      <c r="K43" s="10"/>
      <c r="L43" s="10"/>
      <c r="M43" s="150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2:24" x14ac:dyDescent="0.25">
      <c r="E44" s="144" t="s">
        <v>38</v>
      </c>
      <c r="F44" s="90"/>
      <c r="G44" s="90"/>
      <c r="H44" s="90"/>
      <c r="I44" s="28">
        <f>I43/I37*100</f>
        <v>0.33229693083116724</v>
      </c>
      <c r="J44" s="10"/>
      <c r="K44" s="10"/>
      <c r="L44" s="10"/>
      <c r="M44" s="150"/>
      <c r="N44" s="1"/>
    </row>
    <row r="45" spans="2:24" ht="32.25" customHeight="1" x14ac:dyDescent="0.25">
      <c r="B45" s="39"/>
      <c r="E45" s="151"/>
      <c r="F45" s="10"/>
      <c r="G45" s="10"/>
      <c r="H45" s="10"/>
      <c r="I45" s="10"/>
      <c r="J45" s="10"/>
      <c r="K45" s="10"/>
      <c r="L45" s="10"/>
      <c r="M45" s="150"/>
      <c r="N45" s="1"/>
    </row>
    <row r="46" spans="2:24" ht="33" customHeight="1" x14ac:dyDescent="0.25">
      <c r="B46" s="8"/>
      <c r="C46" s="8"/>
      <c r="E46" s="139" t="str">
        <f>H12</f>
        <v>DAPBI</v>
      </c>
      <c r="F46" s="20" t="s">
        <v>44</v>
      </c>
      <c r="G46" s="20" t="s">
        <v>17</v>
      </c>
      <c r="H46" s="20" t="s">
        <v>18</v>
      </c>
      <c r="I46" s="21" t="s">
        <v>5</v>
      </c>
      <c r="J46" s="10"/>
      <c r="K46" s="10"/>
      <c r="L46" s="10"/>
      <c r="M46" s="150"/>
      <c r="N46" s="1"/>
      <c r="P46" s="40">
        <v>150</v>
      </c>
      <c r="Q46" s="40">
        <v>6390</v>
      </c>
    </row>
    <row r="47" spans="2:24" x14ac:dyDescent="0.25">
      <c r="B47" s="8"/>
      <c r="C47" s="8">
        <f>$H$15/$H$16*2.5/100*0.2/25*1/4*$H$14/100*100</f>
        <v>2.5504500000000001E-3</v>
      </c>
      <c r="E47" s="143" t="s">
        <v>27</v>
      </c>
      <c r="F47" s="8">
        <f>$H$15/$H$16*2.5/100*0.2/25*1/4*$H$14/100*1000000</f>
        <v>25.5045</v>
      </c>
      <c r="G47" s="88">
        <v>4315</v>
      </c>
      <c r="H47" s="88">
        <v>4315</v>
      </c>
      <c r="I47" s="42">
        <f>(G47+H47)/2</f>
        <v>4315</v>
      </c>
      <c r="J47" s="10"/>
      <c r="K47" s="10"/>
      <c r="L47" s="10"/>
      <c r="M47" s="150"/>
      <c r="N47" s="1"/>
      <c r="P47" s="40">
        <v>2</v>
      </c>
      <c r="Q47" s="40">
        <f>P47*Q46/P46</f>
        <v>85.2</v>
      </c>
    </row>
    <row r="48" spans="2:24" x14ac:dyDescent="0.25">
      <c r="B48" s="8"/>
      <c r="C48" s="8">
        <f>$H$15/$H$16*$H$17/$H$18*0.5/25*1/4*$H$14/100*100</f>
        <v>6.376124999999999E-3</v>
      </c>
      <c r="E48" s="143" t="s">
        <v>22</v>
      </c>
      <c r="F48" s="8">
        <f>$H$15/$H$16*$H$17/$H$18*0.5/25*1/4*$H$14/100*1000000</f>
        <v>63.76124999999999</v>
      </c>
      <c r="G48" s="88">
        <v>10827</v>
      </c>
      <c r="H48" s="88">
        <v>10827</v>
      </c>
      <c r="I48" s="42">
        <f t="shared" ref="I48:I52" si="2">(G48+H48)/2</f>
        <v>10827</v>
      </c>
      <c r="J48" s="10"/>
      <c r="K48" s="10"/>
      <c r="L48" s="10"/>
      <c r="M48" s="150"/>
    </row>
    <row r="49" spans="2:13" ht="17.25" customHeight="1" x14ac:dyDescent="0.25">
      <c r="B49" s="8"/>
      <c r="C49" s="8">
        <f>$H$15/$H$16*$H$17/$H$18*0.75/25*1/4*$H$14/100*100</f>
        <v>9.5641875000000015E-3</v>
      </c>
      <c r="E49" s="143" t="s">
        <v>23</v>
      </c>
      <c r="F49" s="8">
        <f>$H$15/$H$16*$H$17/$H$18*0.75/25*1/4*$H$14/100*1000000</f>
        <v>95.641875000000013</v>
      </c>
      <c r="G49" s="88">
        <v>16084</v>
      </c>
      <c r="H49" s="88">
        <v>16084</v>
      </c>
      <c r="I49" s="42">
        <f t="shared" si="2"/>
        <v>16084</v>
      </c>
      <c r="J49" s="10"/>
      <c r="K49" s="10"/>
      <c r="L49" s="10"/>
      <c r="M49" s="150"/>
    </row>
    <row r="50" spans="2:13" x14ac:dyDescent="0.25">
      <c r="B50" s="8"/>
      <c r="C50" s="8">
        <f>$H$15/$H$16*$H$17/$H$18*1/25*1/4*$H$14/100*100</f>
        <v>1.2752249999999998E-2</v>
      </c>
      <c r="E50" s="143" t="s">
        <v>24</v>
      </c>
      <c r="F50" s="8">
        <f>$H$15/$H$16*$H$17/$H$18*1/25*1/4*$H$14/100*1000000</f>
        <v>127.52249999999998</v>
      </c>
      <c r="G50" s="88">
        <v>20788</v>
      </c>
      <c r="H50" s="88">
        <v>20788</v>
      </c>
      <c r="I50" s="42">
        <f t="shared" si="2"/>
        <v>20788</v>
      </c>
      <c r="J50" s="10"/>
      <c r="K50" s="10"/>
      <c r="L50" s="10"/>
      <c r="M50" s="150"/>
    </row>
    <row r="51" spans="2:13" x14ac:dyDescent="0.25">
      <c r="B51" s="8"/>
      <c r="C51" s="8">
        <f>$H$15/$H$16*$H$17/$H$18*1.25/25*1/4*$H$14/100*100</f>
        <v>1.5940312499999998E-2</v>
      </c>
      <c r="E51" s="143" t="s">
        <v>25</v>
      </c>
      <c r="F51" s="8">
        <f>$H$15/$H$16*$H$17/$H$18*1.25/25*1/4*$H$14/100*1000000</f>
        <v>159.40312499999999</v>
      </c>
      <c r="G51" s="88">
        <v>26481</v>
      </c>
      <c r="H51" s="88">
        <v>26481</v>
      </c>
      <c r="I51" s="42">
        <f t="shared" si="2"/>
        <v>26481</v>
      </c>
      <c r="J51" s="10"/>
      <c r="K51" s="10"/>
      <c r="L51" s="10"/>
      <c r="M51" s="150"/>
    </row>
    <row r="52" spans="2:13" x14ac:dyDescent="0.25">
      <c r="C52" s="8">
        <f>$H$15/$H$16*$H$17/$H$18*1.5/25*1/4*$H$14/100*100</f>
        <v>1.9128375000000003E-2</v>
      </c>
      <c r="E52" s="143" t="s">
        <v>26</v>
      </c>
      <c r="F52" s="8">
        <f>$H$15/$H$16*$H$17/$H$18*1.5/25*1/4*$H$14/100*1000000</f>
        <v>191.28375000000003</v>
      </c>
      <c r="G52" s="88">
        <v>31584</v>
      </c>
      <c r="H52" s="88">
        <v>31584</v>
      </c>
      <c r="I52" s="42">
        <f t="shared" si="2"/>
        <v>31584</v>
      </c>
      <c r="J52" s="1"/>
      <c r="K52" s="1"/>
      <c r="L52" s="1"/>
      <c r="M52" s="152"/>
    </row>
    <row r="53" spans="2:13" x14ac:dyDescent="0.25">
      <c r="E53" s="144" t="s">
        <v>39</v>
      </c>
      <c r="F53" s="90"/>
      <c r="G53" s="90"/>
      <c r="H53" s="90"/>
      <c r="I53" s="8">
        <f>CORREL(F47:F52,I47:I52)</f>
        <v>0.99980682588764935</v>
      </c>
      <c r="J53" s="1"/>
      <c r="K53" s="1"/>
      <c r="L53" s="1"/>
      <c r="M53" s="152"/>
    </row>
    <row r="54" spans="2:13" x14ac:dyDescent="0.25">
      <c r="D54" s="1"/>
      <c r="E54" s="144" t="s">
        <v>0</v>
      </c>
      <c r="F54" s="90"/>
      <c r="G54" s="90"/>
      <c r="H54" s="90"/>
      <c r="I54" s="8">
        <f>I53*I53</f>
        <v>0.99961368909153636</v>
      </c>
      <c r="J54" s="1"/>
      <c r="K54" s="1"/>
      <c r="L54" s="1"/>
      <c r="M54" s="152"/>
    </row>
    <row r="55" spans="2:13" x14ac:dyDescent="0.25">
      <c r="D55" s="1"/>
      <c r="E55" s="144" t="s">
        <v>1</v>
      </c>
      <c r="F55" s="90"/>
      <c r="G55" s="90"/>
      <c r="H55" s="90"/>
      <c r="I55" s="9">
        <f>SLOPE(I47:I52,F47:F52)</f>
        <v>163.85056043855147</v>
      </c>
      <c r="J55" s="1"/>
      <c r="K55" s="1"/>
      <c r="L55" s="1"/>
      <c r="M55" s="152"/>
    </row>
    <row r="56" spans="2:13" x14ac:dyDescent="0.25">
      <c r="D56" s="1"/>
      <c r="E56" s="144" t="s">
        <v>37</v>
      </c>
      <c r="F56" s="90"/>
      <c r="G56" s="90"/>
      <c r="H56" s="90"/>
      <c r="I56" s="28">
        <f>INTERCEPT(I47:I52,F47:F52)</f>
        <v>237.817985611513</v>
      </c>
      <c r="J56" s="1"/>
      <c r="K56" s="1"/>
      <c r="L56" s="1"/>
      <c r="M56" s="152"/>
    </row>
    <row r="57" spans="2:13" x14ac:dyDescent="0.25">
      <c r="E57" s="144" t="s">
        <v>38</v>
      </c>
      <c r="F57" s="90"/>
      <c r="G57" s="90"/>
      <c r="H57" s="90"/>
      <c r="I57" s="41">
        <f>I56/I50*100</f>
        <v>1.1440157091183039</v>
      </c>
      <c r="J57" s="1"/>
      <c r="K57" s="1"/>
      <c r="L57" s="1"/>
      <c r="M57" s="152"/>
    </row>
    <row r="58" spans="2:13" x14ac:dyDescent="0.25">
      <c r="E58" s="147"/>
      <c r="F58" s="1"/>
      <c r="G58" s="1"/>
      <c r="H58" s="1"/>
      <c r="I58" s="1"/>
      <c r="J58" s="1"/>
      <c r="K58" s="1"/>
      <c r="L58" s="1"/>
      <c r="M58" s="152"/>
    </row>
    <row r="59" spans="2:13" ht="27.75" customHeight="1" x14ac:dyDescent="0.25">
      <c r="E59" s="139" t="str">
        <f>I12</f>
        <v>2-AP 4-AB</v>
      </c>
      <c r="F59" s="20" t="s">
        <v>44</v>
      </c>
      <c r="G59" s="20" t="s">
        <v>17</v>
      </c>
      <c r="H59" s="20" t="s">
        <v>18</v>
      </c>
      <c r="I59" s="21" t="s">
        <v>5</v>
      </c>
      <c r="J59" s="1"/>
      <c r="K59" s="1"/>
      <c r="L59" s="1"/>
      <c r="M59" s="152"/>
    </row>
    <row r="60" spans="2:13" x14ac:dyDescent="0.25">
      <c r="C60" s="8">
        <f>$I$15/$I$16*2.5/100*0.2/25*1/4*$I$14/100*100</f>
        <v>2.6605442500000002E-3</v>
      </c>
      <c r="D60" s="27"/>
      <c r="E60" s="143" t="s">
        <v>27</v>
      </c>
      <c r="F60" s="8">
        <f>$I$15/$I$16*2.5/100*0.2/25*1/4*$I$14/100*1000000</f>
        <v>26.605442500000002</v>
      </c>
      <c r="G60" s="88">
        <v>3359</v>
      </c>
      <c r="H60" s="88">
        <v>3359</v>
      </c>
      <c r="I60" s="42">
        <f>(G60+H60)/2</f>
        <v>3359</v>
      </c>
      <c r="J60" s="87"/>
      <c r="K60" s="87"/>
      <c r="L60" s="87"/>
      <c r="M60" s="153"/>
    </row>
    <row r="61" spans="2:13" x14ac:dyDescent="0.25">
      <c r="C61" s="8">
        <f>$I$15/$I$16*$I$17/$I$18*0.5/25*1/4*$I$14/100*100</f>
        <v>6.6513606249999999E-3</v>
      </c>
      <c r="D61" s="27"/>
      <c r="E61" s="143" t="s">
        <v>22</v>
      </c>
      <c r="F61" s="8">
        <f>$I$15/$I$16*$I$17/$I$18*0.5/25*1/4*$I$14/100*1000000</f>
        <v>66.513606249999995</v>
      </c>
      <c r="G61" s="88">
        <v>7567</v>
      </c>
      <c r="H61" s="88">
        <v>7567</v>
      </c>
      <c r="I61" s="42">
        <f t="shared" ref="I61:I65" si="3">(G61+H61)/2</f>
        <v>7567</v>
      </c>
      <c r="J61" s="87"/>
      <c r="K61" s="87"/>
      <c r="L61" s="87"/>
      <c r="M61" s="153"/>
    </row>
    <row r="62" spans="2:13" x14ac:dyDescent="0.25">
      <c r="C62" s="8">
        <f>$I$15/$I$16*$I$17/$I$18*0.75/25*1/4*$I$14/100*100</f>
        <v>9.977040937499999E-3</v>
      </c>
      <c r="D62" s="27"/>
      <c r="E62" s="143" t="s">
        <v>23</v>
      </c>
      <c r="F62" s="8">
        <f>$I$15/$I$16*$I$17/$I$18*0.75/25*1/4*$I$14/100*1000000</f>
        <v>99.770409374999986</v>
      </c>
      <c r="G62" s="88">
        <v>10972</v>
      </c>
      <c r="H62" s="88">
        <v>10972</v>
      </c>
      <c r="I62" s="42">
        <f t="shared" si="3"/>
        <v>10972</v>
      </c>
      <c r="J62" s="87"/>
      <c r="K62" s="87"/>
      <c r="L62" s="87"/>
      <c r="M62" s="153"/>
    </row>
    <row r="63" spans="2:13" x14ac:dyDescent="0.25">
      <c r="C63" s="8">
        <f>$I$15/$I$16*$I$17/$I$18*1/25*1/4*$I$14/100*100</f>
        <v>1.330272125E-2</v>
      </c>
      <c r="D63" s="27"/>
      <c r="E63" s="143" t="s">
        <v>24</v>
      </c>
      <c r="F63" s="8">
        <f>$I$15/$I$16*$I$17/$I$18*1/25*1/4*$I$14/100*1000000</f>
        <v>133.02721249999999</v>
      </c>
      <c r="G63" s="88">
        <v>14789</v>
      </c>
      <c r="H63" s="88">
        <v>14789</v>
      </c>
      <c r="I63" s="42">
        <f t="shared" si="3"/>
        <v>14789</v>
      </c>
      <c r="J63" s="1"/>
      <c r="K63" s="1"/>
      <c r="L63" s="1"/>
      <c r="M63" s="152"/>
    </row>
    <row r="64" spans="2:13" x14ac:dyDescent="0.25">
      <c r="C64" s="8">
        <f>$I$15/$I$16*$I$17/$I$18*1.25/25*1/4*$I$14/100*100</f>
        <v>1.6628401562499999E-2</v>
      </c>
      <c r="D64" s="27"/>
      <c r="E64" s="143" t="s">
        <v>25</v>
      </c>
      <c r="F64" s="8">
        <f>$I$15/$I$16*$I$17/$I$18*1.25/25*1/4*$I$14/100*1000000</f>
        <v>166.28401562499999</v>
      </c>
      <c r="G64" s="88">
        <v>17800</v>
      </c>
      <c r="H64" s="88">
        <v>17800</v>
      </c>
      <c r="I64" s="42">
        <f t="shared" si="3"/>
        <v>17800</v>
      </c>
      <c r="J64" s="87"/>
      <c r="K64" s="87"/>
      <c r="L64" s="87"/>
      <c r="M64" s="153"/>
    </row>
    <row r="65" spans="3:13" x14ac:dyDescent="0.25">
      <c r="C65" s="8">
        <f>$I$15/$I$16*$I$17/$I$18*1.5/25*1/4*$I$14/100*100</f>
        <v>1.9954081874999998E-2</v>
      </c>
      <c r="D65" s="27"/>
      <c r="E65" s="143" t="s">
        <v>26</v>
      </c>
      <c r="F65" s="8">
        <f>$I$15/$I$16*$I$17/$I$18*1.5/25*1/4*$I$14/100*1000000</f>
        <v>199.54081874999997</v>
      </c>
      <c r="G65" s="88">
        <v>24653</v>
      </c>
      <c r="H65" s="88">
        <v>24653</v>
      </c>
      <c r="I65" s="42">
        <f t="shared" si="3"/>
        <v>24653</v>
      </c>
      <c r="J65" s="87"/>
      <c r="K65" s="87"/>
      <c r="L65" s="87"/>
      <c r="M65" s="153"/>
    </row>
    <row r="66" spans="3:13" x14ac:dyDescent="0.25">
      <c r="D66" s="27"/>
      <c r="E66" s="144" t="s">
        <v>39</v>
      </c>
      <c r="F66" s="90"/>
      <c r="G66" s="90"/>
      <c r="H66" s="90"/>
      <c r="I66" s="8">
        <f>CORREL(F60:F65,I60:I65)</f>
        <v>0.99111155318786737</v>
      </c>
      <c r="J66" s="87"/>
      <c r="K66" s="87"/>
      <c r="L66" s="87"/>
      <c r="M66" s="153"/>
    </row>
    <row r="67" spans="3:13" x14ac:dyDescent="0.25">
      <c r="D67" s="27"/>
      <c r="E67" s="144" t="s">
        <v>0</v>
      </c>
      <c r="F67" s="90"/>
      <c r="G67" s="90"/>
      <c r="H67" s="90"/>
      <c r="I67" s="8">
        <f>I66*I66</f>
        <v>0.98230211086246688</v>
      </c>
      <c r="J67" s="1"/>
      <c r="K67" s="1"/>
      <c r="L67" s="1"/>
      <c r="M67" s="152"/>
    </row>
    <row r="68" spans="3:13" x14ac:dyDescent="0.25">
      <c r="D68" s="27"/>
      <c r="E68" s="144" t="s">
        <v>1</v>
      </c>
      <c r="F68" s="90"/>
      <c r="G68" s="90"/>
      <c r="H68" s="90"/>
      <c r="I68" s="9">
        <f>SLOPE(I60:I65,F60:F65)</f>
        <v>117.55997863213743</v>
      </c>
      <c r="J68" s="87"/>
      <c r="K68" s="87"/>
      <c r="L68" s="87"/>
      <c r="M68" s="153"/>
    </row>
    <row r="69" spans="3:13" x14ac:dyDescent="0.25">
      <c r="D69" s="27"/>
      <c r="E69" s="144" t="s">
        <v>37</v>
      </c>
      <c r="F69" s="90"/>
      <c r="G69" s="90"/>
      <c r="H69" s="90"/>
      <c r="I69" s="28">
        <f>INTERCEPT(I60:I65,F60:F65)</f>
        <v>-363.51942446043176</v>
      </c>
      <c r="J69" s="87"/>
      <c r="K69" s="87"/>
      <c r="L69" s="87"/>
      <c r="M69" s="153"/>
    </row>
    <row r="70" spans="3:13" x14ac:dyDescent="0.25">
      <c r="D70" s="27"/>
      <c r="E70" s="144" t="s">
        <v>38</v>
      </c>
      <c r="F70" s="90"/>
      <c r="G70" s="90"/>
      <c r="H70" s="90"/>
      <c r="I70" s="41">
        <f>I69/I63*100</f>
        <v>-2.458039248498423</v>
      </c>
      <c r="J70" s="87"/>
      <c r="K70" s="87"/>
      <c r="L70" s="87"/>
      <c r="M70" s="153"/>
    </row>
    <row r="71" spans="3:13" x14ac:dyDescent="0.25">
      <c r="D71" s="1"/>
      <c r="E71" s="147"/>
      <c r="F71" s="1"/>
      <c r="G71" s="1"/>
      <c r="H71" s="1"/>
      <c r="I71" s="1"/>
      <c r="J71" s="1"/>
      <c r="K71" s="1"/>
      <c r="L71" s="1"/>
      <c r="M71" s="152"/>
    </row>
    <row r="72" spans="3:13" x14ac:dyDescent="0.25">
      <c r="D72" s="1"/>
      <c r="E72" s="147"/>
      <c r="F72" s="1"/>
      <c r="G72" s="1"/>
      <c r="H72" s="1"/>
      <c r="I72" s="1"/>
      <c r="J72" s="1"/>
      <c r="K72" s="1"/>
      <c r="L72" s="1"/>
      <c r="M72" s="152"/>
    </row>
    <row r="73" spans="3:13" x14ac:dyDescent="0.25">
      <c r="D73" s="59"/>
      <c r="E73" s="139" t="str">
        <f>J12</f>
        <v>DAPBA</v>
      </c>
      <c r="F73" s="20" t="s">
        <v>44</v>
      </c>
      <c r="G73" s="20" t="s">
        <v>17</v>
      </c>
      <c r="H73" s="20" t="s">
        <v>18</v>
      </c>
      <c r="I73" s="21" t="s">
        <v>5</v>
      </c>
      <c r="J73" s="87"/>
      <c r="K73" s="87"/>
      <c r="L73" s="87"/>
      <c r="M73" s="153"/>
    </row>
    <row r="74" spans="3:13" x14ac:dyDescent="0.25">
      <c r="C74" s="8">
        <f>$J$15/$J$16*2.5/100*0.2/25*1/4*$J$14/100*100</f>
        <v>2.8565039999999997E-3</v>
      </c>
      <c r="D74" s="59"/>
      <c r="E74" s="143" t="s">
        <v>27</v>
      </c>
      <c r="F74" s="8">
        <f>$J$15/$J$16*2.5/100*0.2/25*1/4*$J$14/100*1000000</f>
        <v>28.565039999999996</v>
      </c>
      <c r="G74" s="88">
        <v>305</v>
      </c>
      <c r="H74" s="88">
        <v>305</v>
      </c>
      <c r="I74" s="42">
        <f>(G74+H74)/2</f>
        <v>305</v>
      </c>
      <c r="J74" s="87"/>
      <c r="K74" s="87"/>
      <c r="L74" s="87"/>
      <c r="M74" s="153"/>
    </row>
    <row r="75" spans="3:13" x14ac:dyDescent="0.25">
      <c r="C75" s="8">
        <f>$J$15/$J$16*G17/G18*0.5/25*1/4*$J$14/100*100</f>
        <v>7.1412599999999991E-3</v>
      </c>
      <c r="D75" s="59"/>
      <c r="E75" s="143" t="s">
        <v>22</v>
      </c>
      <c r="F75" s="8">
        <f>$J$15/$J$16*J17/J18*0.5/25*1/4*$J$14/100*1000000</f>
        <v>71.412599999999983</v>
      </c>
      <c r="G75" s="88">
        <v>729</v>
      </c>
      <c r="H75" s="88">
        <v>729</v>
      </c>
      <c r="I75" s="42">
        <f t="shared" ref="I75:I79" si="4">(G75+H75)/2</f>
        <v>729</v>
      </c>
      <c r="J75" s="87"/>
      <c r="K75" s="87"/>
      <c r="L75" s="87"/>
      <c r="M75" s="153"/>
    </row>
    <row r="76" spans="3:13" x14ac:dyDescent="0.25">
      <c r="C76" s="8">
        <f>$J$15/$J$16*$J$17/$J$18*0.75/25*1/4*$J$14/100*100</f>
        <v>1.071189E-2</v>
      </c>
      <c r="D76" s="59"/>
      <c r="E76" s="143" t="s">
        <v>23</v>
      </c>
      <c r="F76" s="8">
        <f>$J$15/$J$16*$J$17/$J$18*0.75/25*1/4*$J$14/100*1000000</f>
        <v>107.1189</v>
      </c>
      <c r="G76" s="88">
        <v>954</v>
      </c>
      <c r="H76" s="88">
        <v>954</v>
      </c>
      <c r="I76" s="42">
        <f t="shared" si="4"/>
        <v>954</v>
      </c>
      <c r="J76" s="1"/>
      <c r="K76" s="1"/>
      <c r="L76" s="1"/>
      <c r="M76" s="152"/>
    </row>
    <row r="77" spans="3:13" x14ac:dyDescent="0.25">
      <c r="C77" s="8">
        <f>$J$15/$J$16*$J$17/$J$18*1/25*1/4*$J$14/100*100</f>
        <v>1.4282519999999998E-2</v>
      </c>
      <c r="D77" s="59"/>
      <c r="E77" s="143" t="s">
        <v>24</v>
      </c>
      <c r="F77" s="8">
        <f>$J$15/$J$16*$J$17/$J$18*1/25*1/4*$J$14/100*1000000</f>
        <v>142.82519999999997</v>
      </c>
      <c r="G77" s="88">
        <v>1359</v>
      </c>
      <c r="H77" s="88">
        <v>1359</v>
      </c>
      <c r="I77" s="42">
        <f t="shared" si="4"/>
        <v>1359</v>
      </c>
      <c r="J77" s="87"/>
      <c r="K77" s="87"/>
      <c r="L77" s="87"/>
      <c r="M77" s="153"/>
    </row>
    <row r="78" spans="3:13" x14ac:dyDescent="0.25">
      <c r="C78" s="8">
        <f>$J$15/$J$16*$J$17/$J$18*1.25/25*1/4*$J$14/100*100</f>
        <v>1.7853149999999998E-2</v>
      </c>
      <c r="D78" s="59"/>
      <c r="E78" s="143" t="s">
        <v>25</v>
      </c>
      <c r="F78" s="8">
        <f>$J$15/$J$16*$J$17/$J$18*1.25/25*1/4*$J$14/100*1000000</f>
        <v>178.53149999999999</v>
      </c>
      <c r="G78" s="88">
        <v>1834</v>
      </c>
      <c r="H78" s="88">
        <v>1834</v>
      </c>
      <c r="I78" s="42">
        <f t="shared" si="4"/>
        <v>1834</v>
      </c>
      <c r="J78" s="87"/>
      <c r="K78" s="87"/>
      <c r="L78" s="87"/>
      <c r="M78" s="153"/>
    </row>
    <row r="79" spans="3:13" x14ac:dyDescent="0.25">
      <c r="C79" s="8">
        <f>$J$15/$J$16*$J$17/$J$18*1.5/25*1/4*$J$14/100*100</f>
        <v>2.142378E-2</v>
      </c>
      <c r="D79" s="59"/>
      <c r="E79" s="143" t="s">
        <v>26</v>
      </c>
      <c r="F79" s="8">
        <f>$J$15/$J$16*$J$17/$J$18*1.5/25*1/4*$J$14/100*1000000</f>
        <v>214.23779999999999</v>
      </c>
      <c r="G79" s="88">
        <v>2397</v>
      </c>
      <c r="H79" s="88">
        <v>2397</v>
      </c>
      <c r="I79" s="42">
        <f t="shared" si="4"/>
        <v>2397</v>
      </c>
      <c r="J79" s="87"/>
      <c r="K79" s="87"/>
      <c r="L79" s="87"/>
      <c r="M79" s="153"/>
    </row>
    <row r="80" spans="3:13" x14ac:dyDescent="0.25">
      <c r="D80" s="59"/>
      <c r="E80" s="144" t="s">
        <v>39</v>
      </c>
      <c r="F80" s="90"/>
      <c r="G80" s="90"/>
      <c r="H80" s="90"/>
      <c r="I80" s="8">
        <f>CORREL(F74:F79,I74:I79)</f>
        <v>0.98989089807148134</v>
      </c>
      <c r="J80" s="1"/>
      <c r="K80" s="1"/>
      <c r="L80" s="1"/>
      <c r="M80" s="152"/>
    </row>
    <row r="81" spans="3:13" x14ac:dyDescent="0.25">
      <c r="D81" s="59"/>
      <c r="E81" s="144" t="s">
        <v>0</v>
      </c>
      <c r="F81" s="90"/>
      <c r="G81" s="90"/>
      <c r="H81" s="90"/>
      <c r="I81" s="8">
        <f>I80*I80</f>
        <v>0.9798839900847639</v>
      </c>
      <c r="J81" s="87"/>
      <c r="K81" s="87"/>
      <c r="L81" s="87"/>
      <c r="M81" s="153"/>
    </row>
    <row r="82" spans="3:13" x14ac:dyDescent="0.25">
      <c r="D82" s="59"/>
      <c r="E82" s="144" t="s">
        <v>1</v>
      </c>
      <c r="F82" s="90"/>
      <c r="G82" s="90"/>
      <c r="H82" s="90"/>
      <c r="I82" s="30">
        <f>SLOPE(I74:I79,F74:F79)</f>
        <v>11.003438786178778</v>
      </c>
      <c r="J82" s="87"/>
      <c r="K82" s="87"/>
      <c r="L82" s="87"/>
      <c r="M82" s="153"/>
    </row>
    <row r="83" spans="3:13" x14ac:dyDescent="0.25">
      <c r="D83" s="59"/>
      <c r="E83" s="144" t="s">
        <v>37</v>
      </c>
      <c r="F83" s="90"/>
      <c r="G83" s="90"/>
      <c r="H83" s="90"/>
      <c r="I83" s="28">
        <f>INTERCEPT(I74:I79,F74:F79)</f>
        <v>-99.025899280575686</v>
      </c>
      <c r="J83" s="87"/>
      <c r="K83" s="87"/>
      <c r="L83" s="87"/>
      <c r="M83" s="153"/>
    </row>
    <row r="84" spans="3:13" x14ac:dyDescent="0.25">
      <c r="D84" s="1"/>
      <c r="E84" s="144" t="s">
        <v>38</v>
      </c>
      <c r="F84" s="90"/>
      <c r="G84" s="90"/>
      <c r="H84" s="90"/>
      <c r="I84" s="41">
        <f>I83/I77*100</f>
        <v>-7.2866739720806244</v>
      </c>
      <c r="J84" s="1"/>
      <c r="K84" s="1"/>
      <c r="L84" s="1"/>
      <c r="M84" s="152"/>
    </row>
    <row r="85" spans="3:13" x14ac:dyDescent="0.25">
      <c r="D85" s="1"/>
      <c r="E85" s="147"/>
      <c r="F85" s="1"/>
      <c r="G85" s="1"/>
      <c r="H85" s="1"/>
      <c r="I85" s="1"/>
      <c r="J85" s="1"/>
      <c r="K85" s="1"/>
      <c r="L85" s="1"/>
      <c r="M85" s="152"/>
    </row>
    <row r="86" spans="3:13" x14ac:dyDescent="0.25">
      <c r="D86" s="1"/>
      <c r="E86" s="139" t="str">
        <f>K12</f>
        <v>PABI</v>
      </c>
      <c r="F86" s="20" t="s">
        <v>44</v>
      </c>
      <c r="G86" s="20" t="s">
        <v>17</v>
      </c>
      <c r="H86" s="20" t="s">
        <v>18</v>
      </c>
      <c r="I86" s="21" t="s">
        <v>5</v>
      </c>
      <c r="J86" s="1"/>
      <c r="K86" s="1"/>
      <c r="L86" s="1"/>
      <c r="M86" s="152"/>
    </row>
    <row r="87" spans="3:13" x14ac:dyDescent="0.25">
      <c r="C87" s="8">
        <f>$K$15/$K$16*1/100*0.2/25*1/4*$K$14/100*100</f>
        <v>1.28331E-3</v>
      </c>
      <c r="D87" s="64">
        <f>C87*3.3/10</f>
        <v>4.2349229999999997E-4</v>
      </c>
      <c r="E87" s="143" t="s">
        <v>27</v>
      </c>
      <c r="F87" s="8">
        <f>$K$15/$K$16*1/100*0.2/25*1/4*$K$14/100*1000000</f>
        <v>12.8331</v>
      </c>
      <c r="G87" s="88">
        <v>1848</v>
      </c>
      <c r="H87" s="88">
        <v>1848</v>
      </c>
      <c r="I87" s="42">
        <f>(G87+H87)/2</f>
        <v>1848</v>
      </c>
      <c r="J87" s="87"/>
      <c r="K87" s="87"/>
      <c r="L87" s="87"/>
      <c r="M87" s="153"/>
    </row>
    <row r="88" spans="3:13" x14ac:dyDescent="0.25">
      <c r="C88" s="8">
        <f>$K$15/$K$16*$K$17/$K$18*0.5/25*1/4*$K$14/100*100</f>
        <v>3.2082749999999991E-3</v>
      </c>
      <c r="D88" s="59"/>
      <c r="E88" s="143" t="s">
        <v>22</v>
      </c>
      <c r="F88" s="8">
        <f>$K$15/$K$16*$K$17/$K$18*0.5/25*1/4*$K$14/100*1000000</f>
        <v>32.08274999999999</v>
      </c>
      <c r="G88" s="88">
        <v>4566</v>
      </c>
      <c r="H88" s="88">
        <v>4566</v>
      </c>
      <c r="I88" s="42">
        <f t="shared" ref="I88:I92" si="5">(G88+H88)/2</f>
        <v>4566</v>
      </c>
      <c r="J88" s="87"/>
      <c r="K88" s="87"/>
      <c r="L88" s="87"/>
      <c r="M88" s="153"/>
    </row>
    <row r="89" spans="3:13" x14ac:dyDescent="0.25">
      <c r="C89" s="8">
        <f>$K$15/$K$16*$K$17/$K$18*0.75/25*1/4*$K$14/100*100</f>
        <v>4.8124124999999992E-3</v>
      </c>
      <c r="D89" s="59"/>
      <c r="E89" s="143" t="s">
        <v>23</v>
      </c>
      <c r="F89" s="8">
        <f>$K$15/$K$16*$K$17/$K$18*0.75/25*1/4*$K$14/100*1000000</f>
        <v>48.124124999999992</v>
      </c>
      <c r="G89" s="88">
        <v>6690</v>
      </c>
      <c r="H89" s="88">
        <v>6690</v>
      </c>
      <c r="I89" s="42">
        <f t="shared" si="5"/>
        <v>6690</v>
      </c>
      <c r="J89" s="87"/>
      <c r="K89" s="87"/>
      <c r="L89" s="87"/>
      <c r="M89" s="153"/>
    </row>
    <row r="90" spans="3:13" x14ac:dyDescent="0.25">
      <c r="C90" s="8">
        <f>$K$15/$K$16*$K$17/$K$18*1/25*1/4*$K$14/100*100</f>
        <v>6.4165499999999983E-3</v>
      </c>
      <c r="D90" s="59"/>
      <c r="E90" s="143" t="s">
        <v>24</v>
      </c>
      <c r="F90" s="8">
        <f>$K$15/$K$16*$K$17/$K$18*1/25*1/4*$K$14/100*1000000</f>
        <v>64.16549999999998</v>
      </c>
      <c r="G90" s="88">
        <v>8863</v>
      </c>
      <c r="H90" s="88">
        <v>8863</v>
      </c>
      <c r="I90" s="42">
        <f t="shared" si="5"/>
        <v>8863</v>
      </c>
      <c r="J90" s="1"/>
      <c r="K90" s="1"/>
      <c r="L90" s="1"/>
      <c r="M90" s="152"/>
    </row>
    <row r="91" spans="3:13" x14ac:dyDescent="0.25">
      <c r="C91" s="8">
        <f>$K$15/$K$16*$K$17/$K$18*1.25/25*1/4*$K$14/100*100</f>
        <v>8.0206874999999983E-3</v>
      </c>
      <c r="D91" s="59"/>
      <c r="E91" s="143" t="s">
        <v>25</v>
      </c>
      <c r="F91" s="8">
        <f>$K$15/$K$16*$K$17/$K$18*1.25/25*1/4*$K$14/100*1000000</f>
        <v>80.206874999999982</v>
      </c>
      <c r="G91" s="88">
        <v>10935</v>
      </c>
      <c r="H91" s="88">
        <v>10935</v>
      </c>
      <c r="I91" s="42">
        <f t="shared" si="5"/>
        <v>10935</v>
      </c>
      <c r="J91" s="87"/>
      <c r="K91" s="87"/>
      <c r="L91" s="87"/>
      <c r="M91" s="153"/>
    </row>
    <row r="92" spans="3:13" x14ac:dyDescent="0.25">
      <c r="C92" s="8">
        <f>$K$15/$K$16*$K$17/$K$18*1.5/25*1/4*$K$14/100*100</f>
        <v>9.6248249999999983E-3</v>
      </c>
      <c r="D92" s="59"/>
      <c r="E92" s="143" t="s">
        <v>26</v>
      </c>
      <c r="F92" s="8">
        <f>$K$15/$K$16*$K$17/$K$18*1.5/25*1/4*$K$14/100*1000000</f>
        <v>96.248249999999985</v>
      </c>
      <c r="G92" s="88">
        <v>13292</v>
      </c>
      <c r="H92" s="88">
        <v>13292</v>
      </c>
      <c r="I92" s="42">
        <f t="shared" si="5"/>
        <v>13292</v>
      </c>
      <c r="J92" s="87"/>
      <c r="K92" s="87"/>
      <c r="L92" s="87"/>
      <c r="M92" s="153"/>
    </row>
    <row r="93" spans="3:13" x14ac:dyDescent="0.25">
      <c r="D93" s="59"/>
      <c r="E93" s="144" t="s">
        <v>39</v>
      </c>
      <c r="F93" s="90"/>
      <c r="G93" s="90"/>
      <c r="H93" s="90"/>
      <c r="I93" s="8">
        <f>CORREL(F87:F92,I87:I92)</f>
        <v>0.99987560074260451</v>
      </c>
      <c r="J93" s="87"/>
      <c r="K93" s="87"/>
      <c r="L93" s="87"/>
      <c r="M93" s="153"/>
    </row>
    <row r="94" spans="3:13" x14ac:dyDescent="0.25">
      <c r="D94" s="59"/>
      <c r="E94" s="144" t="s">
        <v>0</v>
      </c>
      <c r="F94" s="90"/>
      <c r="G94" s="90"/>
      <c r="H94" s="90"/>
      <c r="I94" s="8">
        <f>I93*I93</f>
        <v>0.99975121696038427</v>
      </c>
      <c r="J94" s="1"/>
      <c r="K94" s="1"/>
      <c r="L94" s="1"/>
      <c r="M94" s="152"/>
    </row>
    <row r="95" spans="3:13" x14ac:dyDescent="0.25">
      <c r="D95" s="59"/>
      <c r="E95" s="144" t="s">
        <v>1</v>
      </c>
      <c r="F95" s="90"/>
      <c r="G95" s="90"/>
      <c r="H95" s="90"/>
      <c r="I95" s="30">
        <f>SLOPE(I87:I92,F87:F92)</f>
        <v>135.95754997096373</v>
      </c>
      <c r="J95" s="87"/>
      <c r="K95" s="87"/>
      <c r="L95" s="87"/>
      <c r="M95" s="153"/>
    </row>
    <row r="96" spans="3:13" x14ac:dyDescent="0.25">
      <c r="D96" s="59"/>
      <c r="E96" s="144" t="s">
        <v>37</v>
      </c>
      <c r="F96" s="90"/>
      <c r="G96" s="90"/>
      <c r="H96" s="90"/>
      <c r="I96" s="28">
        <f>INTERCEPT(I87:I92,F87:F92)</f>
        <v>138.38705035971179</v>
      </c>
      <c r="J96" s="87"/>
      <c r="K96" s="87"/>
      <c r="L96" s="87"/>
      <c r="M96" s="153"/>
    </row>
    <row r="97" spans="3:13" x14ac:dyDescent="0.25">
      <c r="D97" s="59"/>
      <c r="E97" s="144" t="s">
        <v>38</v>
      </c>
      <c r="F97" s="90"/>
      <c r="G97" s="90"/>
      <c r="H97" s="90"/>
      <c r="I97" s="41">
        <f>I96/I90*100</f>
        <v>1.5614018995792824</v>
      </c>
      <c r="J97" s="87"/>
      <c r="K97" s="87"/>
      <c r="L97" s="87"/>
      <c r="M97" s="153"/>
    </row>
    <row r="98" spans="3:13" x14ac:dyDescent="0.25">
      <c r="D98" s="59"/>
      <c r="E98" s="154"/>
      <c r="F98" s="87"/>
      <c r="G98" s="87"/>
      <c r="H98" s="87"/>
      <c r="I98" s="87"/>
      <c r="J98" s="87"/>
      <c r="K98" s="87"/>
      <c r="L98" s="87"/>
      <c r="M98" s="153"/>
    </row>
    <row r="99" spans="3:13" ht="25.5" customHeight="1" x14ac:dyDescent="0.25">
      <c r="D99" s="1"/>
      <c r="E99" s="139" t="str">
        <f>L12</f>
        <v>4-BIA</v>
      </c>
      <c r="F99" s="20" t="s">
        <v>44</v>
      </c>
      <c r="G99" s="20" t="s">
        <v>17</v>
      </c>
      <c r="H99" s="20" t="s">
        <v>18</v>
      </c>
      <c r="I99" s="21" t="s">
        <v>5</v>
      </c>
      <c r="J99" s="1"/>
      <c r="K99" s="1"/>
      <c r="L99" s="1"/>
      <c r="M99" s="152"/>
    </row>
    <row r="100" spans="3:13" x14ac:dyDescent="0.25">
      <c r="C100" s="8">
        <f>$L$15/$L$16*$L$17/$L$18*0.2/25*1/4*$L$14/100*100</f>
        <v>1.2668732999999998E-3</v>
      </c>
      <c r="D100" s="1"/>
      <c r="E100" s="143" t="s">
        <v>27</v>
      </c>
      <c r="F100" s="8">
        <f>$L$15/$L$16*$L$17/$L$18*0.2/25*1/4*$L$14/100*1000000</f>
        <v>12.668732999999998</v>
      </c>
      <c r="G100" s="88">
        <v>4345</v>
      </c>
      <c r="H100" s="88">
        <v>4345</v>
      </c>
      <c r="I100" s="42">
        <f>(G100+H100)/2</f>
        <v>4345</v>
      </c>
      <c r="J100" s="1"/>
      <c r="K100" s="1"/>
      <c r="L100" s="1"/>
      <c r="M100" s="152"/>
    </row>
    <row r="101" spans="3:13" x14ac:dyDescent="0.25">
      <c r="C101" s="8">
        <f>$L$15/$L$16*$L$17/$L$18*0.5/25*1/4*$L$14/100*100</f>
        <v>3.1671832499999995E-3</v>
      </c>
      <c r="D101" s="59"/>
      <c r="E101" s="143" t="s">
        <v>22</v>
      </c>
      <c r="F101" s="8">
        <f>$L$15/$L$16*$L$17/$L$18*0.5/25*1/4*$L$14/100*1000000</f>
        <v>31.671832499999997</v>
      </c>
      <c r="G101" s="88">
        <v>10911</v>
      </c>
      <c r="H101" s="88">
        <v>10911</v>
      </c>
      <c r="I101" s="42">
        <f t="shared" ref="I101:I105" si="6">(G101+H101)/2</f>
        <v>10911</v>
      </c>
      <c r="J101" s="87"/>
      <c r="K101" s="87"/>
      <c r="L101" s="87"/>
      <c r="M101" s="153"/>
    </row>
    <row r="102" spans="3:13" x14ac:dyDescent="0.25">
      <c r="C102" s="8">
        <f>$L$15/$L$16*$L$17/$L$18*0.75/25*1/4*$L$14/100*100</f>
        <v>4.7507748749999997E-3</v>
      </c>
      <c r="D102" s="7"/>
      <c r="E102" s="143" t="s">
        <v>23</v>
      </c>
      <c r="F102" s="8">
        <f>$L$15/$L$16*$L$17/$L$18*0.75/25*1/4*$L$14/100*1000000</f>
        <v>47.507748749999998</v>
      </c>
      <c r="G102" s="88">
        <v>15825</v>
      </c>
      <c r="H102" s="88">
        <v>15825</v>
      </c>
      <c r="I102" s="42">
        <f t="shared" si="6"/>
        <v>15825</v>
      </c>
      <c r="J102" s="87"/>
      <c r="K102" s="87"/>
      <c r="L102" s="87"/>
      <c r="M102" s="153"/>
    </row>
    <row r="103" spans="3:13" x14ac:dyDescent="0.25">
      <c r="C103" s="8">
        <f>$L$15/$L$16*$L$17/$L$18*1/25*1/4*$L$14/100*100</f>
        <v>6.334366499999999E-3</v>
      </c>
      <c r="D103" s="59"/>
      <c r="E103" s="143" t="s">
        <v>24</v>
      </c>
      <c r="F103" s="8">
        <f>$L$15/$L$16*$L$17/$L$18*1/25*1/4*$L$14/100*1000000</f>
        <v>63.343664999999994</v>
      </c>
      <c r="G103" s="88">
        <v>21237</v>
      </c>
      <c r="H103" s="88">
        <v>21237</v>
      </c>
      <c r="I103" s="42">
        <f t="shared" si="6"/>
        <v>21237</v>
      </c>
      <c r="J103" s="87"/>
      <c r="K103" s="87"/>
      <c r="L103" s="87"/>
      <c r="M103" s="153"/>
    </row>
    <row r="104" spans="3:13" x14ac:dyDescent="0.25">
      <c r="C104" s="8">
        <f>$L$15/$L$16*$L$17/$L$18*1.25/25*1/4*$L$14/100*100</f>
        <v>7.9179581249999992E-3</v>
      </c>
      <c r="D104" s="59"/>
      <c r="E104" s="143" t="s">
        <v>25</v>
      </c>
      <c r="F104" s="8">
        <f>$L$15/$L$16*$L$17/$L$18*1.25/25*1/4*$L$14/100*1000000</f>
        <v>79.179581249999984</v>
      </c>
      <c r="G104" s="88">
        <v>26795</v>
      </c>
      <c r="H104" s="88">
        <v>26795</v>
      </c>
      <c r="I104" s="42">
        <f t="shared" si="6"/>
        <v>26795</v>
      </c>
      <c r="J104" s="1"/>
      <c r="K104" s="1"/>
      <c r="L104" s="1"/>
      <c r="M104" s="152"/>
    </row>
    <row r="105" spans="3:13" x14ac:dyDescent="0.25">
      <c r="C105" s="8">
        <f>$L$15/$L$16*$L$17/$L$18*1.5/25*1/4*$L$14/100*100</f>
        <v>9.5015497499999994E-3</v>
      </c>
      <c r="D105" s="59"/>
      <c r="E105" s="143" t="s">
        <v>26</v>
      </c>
      <c r="F105" s="8">
        <f>$L$15/$L$16*$L$17/$L$18*1.5/25*1/4*$L$14/100*1000000</f>
        <v>95.015497499999995</v>
      </c>
      <c r="G105" s="88">
        <v>32139</v>
      </c>
      <c r="H105" s="88">
        <v>32139</v>
      </c>
      <c r="I105" s="42">
        <f t="shared" si="6"/>
        <v>32139</v>
      </c>
      <c r="J105" s="87"/>
      <c r="K105" s="87"/>
      <c r="L105" s="87"/>
      <c r="M105" s="153"/>
    </row>
    <row r="106" spans="3:13" x14ac:dyDescent="0.25">
      <c r="D106" s="59"/>
      <c r="E106" s="144" t="s">
        <v>39</v>
      </c>
      <c r="F106" s="90"/>
      <c r="G106" s="90"/>
      <c r="H106" s="90"/>
      <c r="I106" s="8">
        <f>CORREL(F100:F105,I100:I105)</f>
        <v>0.99988187330792366</v>
      </c>
      <c r="J106" s="87"/>
      <c r="K106" s="87"/>
      <c r="L106" s="87"/>
      <c r="M106" s="153"/>
    </row>
    <row r="107" spans="3:13" x14ac:dyDescent="0.25">
      <c r="D107" s="59"/>
      <c r="E107" s="144" t="s">
        <v>0</v>
      </c>
      <c r="F107" s="90"/>
      <c r="G107" s="90"/>
      <c r="H107" s="90"/>
      <c r="I107" s="8">
        <f>I106*I106</f>
        <v>0.99976376056976268</v>
      </c>
      <c r="J107" s="87"/>
      <c r="K107" s="87"/>
      <c r="L107" s="87"/>
      <c r="M107" s="153"/>
    </row>
    <row r="108" spans="3:13" x14ac:dyDescent="0.25">
      <c r="D108" s="59"/>
      <c r="E108" s="144" t="s">
        <v>1</v>
      </c>
      <c r="F108" s="90"/>
      <c r="G108" s="90"/>
      <c r="H108" s="90"/>
      <c r="I108" s="30">
        <f>SLOPE(I100:I105,F100:F105)</f>
        <v>336.82790013910227</v>
      </c>
      <c r="J108" s="1"/>
      <c r="K108" s="1"/>
      <c r="L108" s="1"/>
      <c r="M108" s="152"/>
    </row>
    <row r="109" spans="3:13" x14ac:dyDescent="0.25">
      <c r="D109" s="59"/>
      <c r="E109" s="144" t="s">
        <v>37</v>
      </c>
      <c r="F109" s="90"/>
      <c r="G109" s="90"/>
      <c r="H109" s="90"/>
      <c r="I109" s="28">
        <f>INTERCEPT(I100:I105,F100:F105)</f>
        <v>50.874820143886609</v>
      </c>
      <c r="J109" s="87"/>
      <c r="K109" s="87"/>
      <c r="L109" s="87"/>
      <c r="M109" s="153"/>
    </row>
    <row r="110" spans="3:13" x14ac:dyDescent="0.25">
      <c r="D110" s="59"/>
      <c r="E110" s="144" t="s">
        <v>38</v>
      </c>
      <c r="F110" s="90"/>
      <c r="G110" s="90"/>
      <c r="H110" s="90"/>
      <c r="I110" s="41">
        <f>I109/I103*100</f>
        <v>0.23955747113004006</v>
      </c>
      <c r="J110" s="87"/>
      <c r="K110" s="87"/>
      <c r="L110" s="87"/>
      <c r="M110" s="153"/>
    </row>
    <row r="111" spans="3:13" x14ac:dyDescent="0.25">
      <c r="D111" s="1"/>
      <c r="E111" s="155" t="s">
        <v>35</v>
      </c>
      <c r="F111" s="45" t="str">
        <f>E20</f>
        <v>TABA</v>
      </c>
      <c r="G111" s="45" t="str">
        <f>E33</f>
        <v>4,4-DABA</v>
      </c>
      <c r="H111" s="45" t="str">
        <f>E46</f>
        <v>DAPBI</v>
      </c>
      <c r="I111" s="45" t="str">
        <f>E59</f>
        <v>2-AP 4-AB</v>
      </c>
      <c r="J111" s="45" t="str">
        <f>E73</f>
        <v>DAPBA</v>
      </c>
      <c r="K111" s="45" t="str">
        <f>E86</f>
        <v>PABI</v>
      </c>
      <c r="L111" s="45" t="str">
        <f>E99</f>
        <v>4-BIA</v>
      </c>
      <c r="M111" s="152"/>
    </row>
    <row r="112" spans="3:13" x14ac:dyDescent="0.25">
      <c r="D112" s="59"/>
      <c r="E112" s="155" t="s">
        <v>36</v>
      </c>
      <c r="F112" s="44">
        <f>I29</f>
        <v>108.19529409514003</v>
      </c>
      <c r="G112" s="44">
        <f>I42</f>
        <v>194.01841542258674</v>
      </c>
      <c r="H112" s="44">
        <f>I55</f>
        <v>163.85056043855147</v>
      </c>
      <c r="I112" s="44">
        <f>I68</f>
        <v>117.55997863213743</v>
      </c>
      <c r="J112" s="44">
        <f>I82</f>
        <v>11.003438786178778</v>
      </c>
      <c r="K112" s="44">
        <f>I95</f>
        <v>135.95754997096373</v>
      </c>
      <c r="L112" s="44">
        <f>I108</f>
        <v>336.82790013910227</v>
      </c>
      <c r="M112" s="153"/>
    </row>
    <row r="113" spans="4:15" x14ac:dyDescent="0.25">
      <c r="D113" s="59"/>
      <c r="E113" s="155" t="s">
        <v>47</v>
      </c>
      <c r="F113" s="44">
        <f>I30</f>
        <v>1133.3503597122326</v>
      </c>
      <c r="G113" s="44">
        <f>I43</f>
        <v>78.933812949635467</v>
      </c>
      <c r="H113" s="44">
        <f>I56</f>
        <v>237.817985611513</v>
      </c>
      <c r="I113" s="44">
        <f>I69</f>
        <v>-363.51942446043176</v>
      </c>
      <c r="J113" s="44">
        <f>I83</f>
        <v>-99.025899280575686</v>
      </c>
      <c r="K113" s="44">
        <f>I96</f>
        <v>138.38705035971179</v>
      </c>
      <c r="L113" s="44">
        <f>I109</f>
        <v>50.874820143886609</v>
      </c>
      <c r="M113" s="153"/>
    </row>
    <row r="114" spans="4:15" x14ac:dyDescent="0.25">
      <c r="D114" s="7"/>
      <c r="E114" s="155" t="s">
        <v>40</v>
      </c>
      <c r="F114" s="62">
        <v>1</v>
      </c>
      <c r="G114" s="75">
        <f>G112/F112</f>
        <v>1.7932241604887116</v>
      </c>
      <c r="H114" s="75">
        <f>H112/F112</f>
        <v>1.5143963682419659</v>
      </c>
      <c r="I114" s="75">
        <f>I112/F112</f>
        <v>1.0865535291097106</v>
      </c>
      <c r="J114" s="75">
        <f>J112/F112</f>
        <v>0.10169979090313352</v>
      </c>
      <c r="K114" s="75">
        <f>K112/F112</f>
        <v>1.2565939314459587</v>
      </c>
      <c r="L114" s="75">
        <f>L112/F112</f>
        <v>3.1131474151076972</v>
      </c>
      <c r="M114" s="153"/>
    </row>
    <row r="115" spans="4:15" x14ac:dyDescent="0.25">
      <c r="D115" s="59"/>
      <c r="E115" s="155" t="s">
        <v>41</v>
      </c>
      <c r="F115" s="62">
        <v>1</v>
      </c>
      <c r="G115" s="75">
        <f t="shared" ref="G115:L115" si="7">1/G114</f>
        <v>0.55765476622145649</v>
      </c>
      <c r="H115" s="75">
        <f t="shared" si="7"/>
        <v>0.66032910601923922</v>
      </c>
      <c r="I115" s="75">
        <f t="shared" si="7"/>
        <v>0.92034121946975778</v>
      </c>
      <c r="J115" s="75">
        <f t="shared" si="7"/>
        <v>9.8328619077739763</v>
      </c>
      <c r="K115" s="75">
        <f t="shared" si="7"/>
        <v>0.79580202878212469</v>
      </c>
      <c r="L115" s="75">
        <f t="shared" si="7"/>
        <v>0.3212183255913712</v>
      </c>
      <c r="M115" s="153"/>
    </row>
    <row r="116" spans="4:15" x14ac:dyDescent="0.25">
      <c r="D116" s="59"/>
      <c r="E116" s="147"/>
      <c r="F116" s="1"/>
      <c r="G116" s="1"/>
      <c r="H116" s="1"/>
      <c r="I116" s="1"/>
      <c r="J116" s="1"/>
      <c r="K116" s="1"/>
      <c r="L116" s="1"/>
      <c r="M116" s="152"/>
    </row>
    <row r="117" spans="4:15" x14ac:dyDescent="0.25">
      <c r="D117" s="59"/>
      <c r="E117" s="155" t="s">
        <v>42</v>
      </c>
      <c r="F117" s="75">
        <f>F112/H112</f>
        <v>0.66032910601923933</v>
      </c>
      <c r="G117" s="75">
        <f>G112/H112</f>
        <v>1.1841181067876119</v>
      </c>
      <c r="H117" s="35">
        <v>1</v>
      </c>
      <c r="I117" s="75">
        <f>I112/H112</f>
        <v>0.7174829205190647</v>
      </c>
      <c r="J117" s="75">
        <f>J112/H112</f>
        <v>6.7155332009409721E-2</v>
      </c>
      <c r="K117" s="75">
        <f>K112/H112</f>
        <v>0.82976554738091113</v>
      </c>
      <c r="L117" s="75">
        <f>L112/H112</f>
        <v>2.0557018495241715</v>
      </c>
      <c r="M117" s="153"/>
    </row>
    <row r="118" spans="4:15" ht="15.75" thickBot="1" x14ac:dyDescent="0.3">
      <c r="D118" s="59"/>
      <c r="E118" s="156" t="s">
        <v>43</v>
      </c>
      <c r="F118" s="157">
        <f>1/F117</f>
        <v>1.5143963682419657</v>
      </c>
      <c r="G118" s="157">
        <f>1/G117</f>
        <v>0.84451035269859609</v>
      </c>
      <c r="H118" s="158">
        <v>1</v>
      </c>
      <c r="I118" s="157">
        <f>1/I117</f>
        <v>1.3937614003083831</v>
      </c>
      <c r="J118" s="157">
        <f>1/J117</f>
        <v>14.890850362557678</v>
      </c>
      <c r="K118" s="157">
        <f>1/K117</f>
        <v>1.205159702227238</v>
      </c>
      <c r="L118" s="157">
        <f>1/L117</f>
        <v>0.48645186568833787</v>
      </c>
      <c r="M118" s="159"/>
    </row>
    <row r="119" spans="4:15" x14ac:dyDescent="0.25">
      <c r="D119" s="59"/>
      <c r="E119" s="60"/>
      <c r="F119" s="60"/>
      <c r="G119" s="60"/>
      <c r="H119" s="60"/>
      <c r="I119" s="60"/>
      <c r="J119" s="60"/>
      <c r="K119" s="60"/>
      <c r="L119" s="60"/>
      <c r="M119" s="60"/>
    </row>
    <row r="120" spans="4:15" x14ac:dyDescent="0.25">
      <c r="D120" s="59"/>
      <c r="E120" s="58"/>
      <c r="F120" s="58"/>
      <c r="G120" s="58"/>
      <c r="H120" s="58"/>
      <c r="I120" s="58"/>
      <c r="J120" s="58"/>
      <c r="K120" s="58"/>
      <c r="L120" s="58"/>
    </row>
    <row r="121" spans="4:15" x14ac:dyDescent="0.25">
      <c r="D121" s="59"/>
      <c r="E121" s="60"/>
      <c r="F121" s="6"/>
      <c r="G121" s="6"/>
      <c r="H121" s="6"/>
      <c r="I121" s="6"/>
      <c r="J121" s="6"/>
      <c r="K121" s="6"/>
      <c r="L121" s="6"/>
      <c r="M121" s="60"/>
      <c r="N121" s="60"/>
    </row>
    <row r="122" spans="4:15" x14ac:dyDescent="0.25">
      <c r="E122" s="59"/>
      <c r="F122" s="60"/>
      <c r="G122" s="60"/>
      <c r="H122" s="60"/>
      <c r="I122" s="60"/>
      <c r="J122" s="60"/>
      <c r="K122" s="60"/>
      <c r="L122" s="61"/>
      <c r="M122" s="60"/>
    </row>
    <row r="123" spans="4:15" x14ac:dyDescent="0.25">
      <c r="D123" s="59"/>
      <c r="E123" s="60"/>
      <c r="F123" s="60"/>
      <c r="G123" s="36"/>
      <c r="H123" s="36"/>
      <c r="I123" s="36"/>
      <c r="J123" s="36"/>
      <c r="K123" s="36"/>
      <c r="L123" s="36"/>
      <c r="M123" s="36"/>
      <c r="N123" s="37"/>
    </row>
    <row r="124" spans="4:15" x14ac:dyDescent="0.25">
      <c r="D124" s="1"/>
      <c r="E124" s="1"/>
      <c r="F124" s="1"/>
      <c r="G124" s="4"/>
      <c r="H124" s="4"/>
      <c r="I124" s="4"/>
      <c r="J124" s="4"/>
      <c r="K124" s="2"/>
      <c r="L124" s="2"/>
      <c r="M124" s="2"/>
      <c r="N124" s="38"/>
      <c r="O124" s="38">
        <f>100-N124</f>
        <v>100</v>
      </c>
    </row>
    <row r="125" spans="4:15" x14ac:dyDescent="0.25">
      <c r="D125" s="1"/>
      <c r="E125" s="1"/>
      <c r="F125" s="1"/>
      <c r="G125" s="1"/>
      <c r="H125" s="1"/>
      <c r="I125" s="1"/>
      <c r="J125" s="1"/>
      <c r="K125" s="3"/>
      <c r="L125" s="1"/>
      <c r="M125" s="1"/>
    </row>
    <row r="126" spans="4:15" x14ac:dyDescent="0.25"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4:15" x14ac:dyDescent="0.25"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4:15" x14ac:dyDescent="0.25"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4:13" x14ac:dyDescent="0.25"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4:13" x14ac:dyDescent="0.25"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4:13" x14ac:dyDescent="0.25"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4:13" x14ac:dyDescent="0.25"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4:13" x14ac:dyDescent="0.25"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4:13" x14ac:dyDescent="0.25"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4:13" x14ac:dyDescent="0.25"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4:13" x14ac:dyDescent="0.25"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4:13" x14ac:dyDescent="0.25"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4:13" x14ac:dyDescent="0.25"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4:13" x14ac:dyDescent="0.25"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4:13" x14ac:dyDescent="0.25"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4:13" x14ac:dyDescent="0.25"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4:13" x14ac:dyDescent="0.25"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4:13" x14ac:dyDescent="0.25"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4:13" x14ac:dyDescent="0.25"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4:13" x14ac:dyDescent="0.25"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4:13" x14ac:dyDescent="0.25"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4:13" x14ac:dyDescent="0.25"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4:13" x14ac:dyDescent="0.25"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4:13" x14ac:dyDescent="0.25"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4:13" x14ac:dyDescent="0.25"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4:13" x14ac:dyDescent="0.25"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4:13" x14ac:dyDescent="0.25"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4:13" x14ac:dyDescent="0.25"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4:13" x14ac:dyDescent="0.25"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4:13" x14ac:dyDescent="0.25"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4:13" x14ac:dyDescent="0.25"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4:13" x14ac:dyDescent="0.25"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4:13" x14ac:dyDescent="0.25"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4:13" x14ac:dyDescent="0.25"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4:13" x14ac:dyDescent="0.25"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4:13" x14ac:dyDescent="0.25"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4:13" x14ac:dyDescent="0.25"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4:13" x14ac:dyDescent="0.25"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4:13" x14ac:dyDescent="0.25"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4:13" x14ac:dyDescent="0.25"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4:13" x14ac:dyDescent="0.25"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4:13" x14ac:dyDescent="0.25"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4:13" x14ac:dyDescent="0.25"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4:13" x14ac:dyDescent="0.25"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4:13" x14ac:dyDescent="0.25"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4:13" x14ac:dyDescent="0.25"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4:13" x14ac:dyDescent="0.25"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4:13" x14ac:dyDescent="0.25"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4:13" x14ac:dyDescent="0.25"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4:13" x14ac:dyDescent="0.25"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4:13" x14ac:dyDescent="0.25"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4:13" x14ac:dyDescent="0.25"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4:13" x14ac:dyDescent="0.25"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4:13" x14ac:dyDescent="0.25"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4:13" x14ac:dyDescent="0.25"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4:13" x14ac:dyDescent="0.25"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4:13" x14ac:dyDescent="0.25"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4:13" x14ac:dyDescent="0.25"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4:13" x14ac:dyDescent="0.25"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4:13" x14ac:dyDescent="0.25"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4:13" x14ac:dyDescent="0.25"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4:13" x14ac:dyDescent="0.25"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4:13" x14ac:dyDescent="0.25"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4:13" x14ac:dyDescent="0.25"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4:13" x14ac:dyDescent="0.25"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4:13" x14ac:dyDescent="0.25"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4:13" x14ac:dyDescent="0.25"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4:13" x14ac:dyDescent="0.25">
      <c r="D193" s="1"/>
      <c r="E193" s="1"/>
      <c r="F193" s="1"/>
      <c r="G193" s="1"/>
      <c r="H193" s="1"/>
      <c r="I193" s="1"/>
      <c r="J193" s="1"/>
      <c r="K193" s="1"/>
      <c r="L193" s="1"/>
      <c r="M193" s="1"/>
    </row>
  </sheetData>
  <mergeCells count="60">
    <mergeCell ref="V4:X5"/>
    <mergeCell ref="E6:L6"/>
    <mergeCell ref="M6:M10"/>
    <mergeCell ref="O6:O10"/>
    <mergeCell ref="P6:Q6"/>
    <mergeCell ref="R6:S6"/>
    <mergeCell ref="T6:U6"/>
    <mergeCell ref="V6:V10"/>
    <mergeCell ref="W6:W10"/>
    <mergeCell ref="X6:X10"/>
    <mergeCell ref="S27:S29"/>
    <mergeCell ref="T27:T29"/>
    <mergeCell ref="U27:U29"/>
    <mergeCell ref="E7:L7"/>
    <mergeCell ref="F8:L8"/>
    <mergeCell ref="F9:L9"/>
    <mergeCell ref="F10:L10"/>
    <mergeCell ref="F11:K11"/>
    <mergeCell ref="E27:H27"/>
    <mergeCell ref="E28:H28"/>
    <mergeCell ref="E29:H29"/>
    <mergeCell ref="E66:H66"/>
    <mergeCell ref="P37:P38"/>
    <mergeCell ref="Q37:Q38"/>
    <mergeCell ref="R37:R38"/>
    <mergeCell ref="P27:P29"/>
    <mergeCell ref="Q27:Q29"/>
    <mergeCell ref="R27:R29"/>
    <mergeCell ref="E106:H106"/>
    <mergeCell ref="E107:H107"/>
    <mergeCell ref="E30:H30"/>
    <mergeCell ref="E31:H31"/>
    <mergeCell ref="P35:R36"/>
    <mergeCell ref="E67:H67"/>
    <mergeCell ref="E40:H40"/>
    <mergeCell ref="E41:H41"/>
    <mergeCell ref="E42:H42"/>
    <mergeCell ref="E43:H43"/>
    <mergeCell ref="E44:H44"/>
    <mergeCell ref="E53:H53"/>
    <mergeCell ref="E54:H54"/>
    <mergeCell ref="E55:H55"/>
    <mergeCell ref="E56:H56"/>
    <mergeCell ref="E57:H57"/>
    <mergeCell ref="E108:H108"/>
    <mergeCell ref="E109:H109"/>
    <mergeCell ref="E110:H110"/>
    <mergeCell ref="E96:H96"/>
    <mergeCell ref="E68:H68"/>
    <mergeCell ref="E69:H69"/>
    <mergeCell ref="E70:H70"/>
    <mergeCell ref="E80:H80"/>
    <mergeCell ref="E81:H81"/>
    <mergeCell ref="E82:H82"/>
    <mergeCell ref="E83:H83"/>
    <mergeCell ref="E84:H84"/>
    <mergeCell ref="E93:H93"/>
    <mergeCell ref="E94:H94"/>
    <mergeCell ref="E95:H95"/>
    <mergeCell ref="E97:H97"/>
  </mergeCells>
  <pageMargins left="0.70866141732283472" right="0.70866141732283472" top="0.74803149606299213" bottom="0.74803149606299213" header="0.31496062992125984" footer="0.31496062992125984"/>
  <pageSetup paperSize="9" scale="4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5:I10"/>
  <sheetViews>
    <sheetView topLeftCell="F1" workbookViewId="0">
      <selection activeCell="H12" sqref="H12"/>
    </sheetView>
  </sheetViews>
  <sheetFormatPr defaultRowHeight="15" x14ac:dyDescent="0.25"/>
  <cols>
    <col min="6" max="6" width="22" bestFit="1" customWidth="1"/>
    <col min="7" max="7" width="22" style="40" customWidth="1"/>
    <col min="8" max="9" width="30.140625" bestFit="1" customWidth="1"/>
  </cols>
  <sheetData>
    <row r="5" spans="6:9" ht="15.75" x14ac:dyDescent="0.25">
      <c r="F5" s="84"/>
      <c r="G5" s="84"/>
      <c r="H5" s="116" t="s">
        <v>72</v>
      </c>
      <c r="I5" s="116"/>
    </row>
    <row r="6" spans="6:9" ht="15.75" x14ac:dyDescent="0.25">
      <c r="F6" s="84" t="s">
        <v>73</v>
      </c>
      <c r="G6" s="84" t="s">
        <v>79</v>
      </c>
      <c r="H6" s="84" t="s">
        <v>77</v>
      </c>
      <c r="I6" s="84" t="s">
        <v>78</v>
      </c>
    </row>
    <row r="7" spans="6:9" ht="15.75" x14ac:dyDescent="0.25">
      <c r="G7" s="84"/>
      <c r="H7" s="84"/>
      <c r="I7" s="84"/>
    </row>
    <row r="8" spans="6:9" ht="15.75" x14ac:dyDescent="0.25">
      <c r="F8" s="84" t="s">
        <v>74</v>
      </c>
      <c r="G8" s="84" t="s">
        <v>80</v>
      </c>
      <c r="H8" s="84" t="s">
        <v>83</v>
      </c>
      <c r="I8" s="84" t="s">
        <v>83</v>
      </c>
    </row>
    <row r="9" spans="6:9" ht="15.75" x14ac:dyDescent="0.25">
      <c r="F9" s="84" t="s">
        <v>75</v>
      </c>
      <c r="G9" s="84" t="s">
        <v>81</v>
      </c>
      <c r="H9" s="84">
        <v>0.12</v>
      </c>
      <c r="I9" s="84">
        <v>0.11</v>
      </c>
    </row>
    <row r="10" spans="6:9" ht="15.75" x14ac:dyDescent="0.25">
      <c r="F10" s="84" t="s">
        <v>76</v>
      </c>
      <c r="G10" s="84" t="s">
        <v>82</v>
      </c>
      <c r="H10" s="84">
        <v>99.83</v>
      </c>
      <c r="I10" s="84">
        <v>99.83</v>
      </c>
    </row>
  </sheetData>
  <mergeCells count="1">
    <mergeCell ref="H5:I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K43"/>
  <sheetViews>
    <sheetView view="pageBreakPreview" topLeftCell="A4" zoomScaleNormal="100" zoomScaleSheetLayoutView="100" workbookViewId="0">
      <pane xSplit="1" topLeftCell="B1" activePane="topRight" state="frozen"/>
      <selection pane="topRight" activeCell="B8" sqref="B8:F8"/>
    </sheetView>
  </sheetViews>
  <sheetFormatPr defaultRowHeight="15" x14ac:dyDescent="0.25"/>
  <cols>
    <col min="1" max="1" width="19.5703125" style="40" bestFit="1" customWidth="1"/>
    <col min="2" max="6" width="26.140625" style="40" bestFit="1" customWidth="1"/>
    <col min="7" max="7" width="26.140625" style="40" customWidth="1"/>
    <col min="8" max="8" width="5.7109375" style="40" bestFit="1" customWidth="1"/>
    <col min="9" max="9" width="16.140625" style="40" bestFit="1" customWidth="1"/>
    <col min="10" max="10" width="9.140625" style="40"/>
    <col min="11" max="11" width="14.140625" style="40" bestFit="1" customWidth="1"/>
    <col min="12" max="12" width="16.140625" style="40" bestFit="1" customWidth="1"/>
    <col min="13" max="16384" width="9.140625" style="40"/>
  </cols>
  <sheetData>
    <row r="4" spans="1:11" ht="15.75" thickBot="1" x14ac:dyDescent="0.3"/>
    <row r="5" spans="1:11" ht="15.75" thickBot="1" x14ac:dyDescent="0.3">
      <c r="A5" s="93" t="s">
        <v>6</v>
      </c>
      <c r="B5" s="94"/>
      <c r="C5" s="94"/>
      <c r="D5" s="94"/>
      <c r="E5" s="94"/>
      <c r="F5" s="94"/>
      <c r="G5" s="109"/>
      <c r="H5" s="120"/>
    </row>
    <row r="6" spans="1:11" ht="15.75" thickBot="1" x14ac:dyDescent="0.3">
      <c r="A6" s="93" t="s">
        <v>84</v>
      </c>
      <c r="B6" s="94"/>
      <c r="C6" s="94"/>
      <c r="D6" s="94"/>
      <c r="E6" s="94"/>
      <c r="F6" s="94"/>
      <c r="G6" s="121"/>
      <c r="H6" s="113"/>
    </row>
    <row r="7" spans="1:11" ht="15.75" thickBot="1" x14ac:dyDescent="0.3">
      <c r="A7" s="13" t="s">
        <v>11</v>
      </c>
      <c r="B7" s="93" t="s">
        <v>85</v>
      </c>
      <c r="C7" s="94"/>
      <c r="D7" s="94"/>
      <c r="E7" s="94"/>
      <c r="F7" s="94"/>
      <c r="G7" s="121"/>
      <c r="H7" s="113"/>
    </row>
    <row r="8" spans="1:11" ht="15.75" thickBot="1" x14ac:dyDescent="0.3">
      <c r="A8" s="12" t="s">
        <v>10</v>
      </c>
      <c r="B8" s="93" t="s">
        <v>86</v>
      </c>
      <c r="C8" s="94"/>
      <c r="D8" s="94"/>
      <c r="E8" s="94"/>
      <c r="F8" s="94"/>
      <c r="G8" s="122"/>
      <c r="H8" s="123"/>
    </row>
    <row r="9" spans="1:11" ht="15.75" thickBot="1" x14ac:dyDescent="0.3">
      <c r="A9" s="13" t="s">
        <v>3</v>
      </c>
      <c r="B9" s="117" t="s">
        <v>12</v>
      </c>
      <c r="C9" s="118"/>
      <c r="D9" s="118"/>
      <c r="E9" s="119"/>
      <c r="F9" s="89" t="s">
        <v>4</v>
      </c>
      <c r="G9" s="15">
        <v>45919</v>
      </c>
      <c r="J9" s="85"/>
      <c r="K9" s="85"/>
    </row>
    <row r="10" spans="1:11" x14ac:dyDescent="0.25">
      <c r="J10" s="86"/>
      <c r="K10" s="86"/>
    </row>
    <row r="11" spans="1:11" x14ac:dyDescent="0.25">
      <c r="A11" s="45" t="s">
        <v>50</v>
      </c>
      <c r="B11" s="45" t="str">
        <f>'19-09-2025'!F111</f>
        <v>TABA</v>
      </c>
      <c r="C11" s="45" t="str">
        <f>'19-09-2025'!G111</f>
        <v>4,4-DABA</v>
      </c>
      <c r="D11" s="45" t="str">
        <f>'19-09-2025'!H111</f>
        <v>DAPBI</v>
      </c>
      <c r="E11" s="45" t="str">
        <f>'19-09-2025'!I111</f>
        <v>2-AP 4-AB</v>
      </c>
      <c r="F11" s="45" t="str">
        <f>'19-09-2025'!J111</f>
        <v>DAPBA</v>
      </c>
      <c r="G11" s="45" t="str">
        <f>'19-09-2025'!K111</f>
        <v>PABI</v>
      </c>
      <c r="H11" s="45" t="str">
        <f>'19-09-2025'!L111</f>
        <v>4-BIA</v>
      </c>
      <c r="J11" s="69"/>
      <c r="K11" s="69"/>
    </row>
    <row r="12" spans="1:11" x14ac:dyDescent="0.25">
      <c r="A12" s="45" t="s">
        <v>36</v>
      </c>
      <c r="B12" s="44">
        <f>'19-09-2025'!F112</f>
        <v>108.19529409514003</v>
      </c>
      <c r="C12" s="44">
        <f>'19-09-2025'!G112</f>
        <v>194.01841542258674</v>
      </c>
      <c r="D12" s="44">
        <f>'19-09-2025'!H112</f>
        <v>163.85056043855147</v>
      </c>
      <c r="E12" s="44">
        <f>'19-09-2025'!I112</f>
        <v>117.55997863213743</v>
      </c>
      <c r="F12" s="44">
        <f>'19-09-2025'!J112</f>
        <v>11.003438786178778</v>
      </c>
      <c r="G12" s="44">
        <f>'19-09-2025'!K112</f>
        <v>135.95754997096373</v>
      </c>
      <c r="H12" s="44">
        <f>'19-09-2025'!L112</f>
        <v>336.82790013910227</v>
      </c>
      <c r="J12" s="65"/>
      <c r="K12" s="65"/>
    </row>
    <row r="13" spans="1:11" x14ac:dyDescent="0.25">
      <c r="A13" s="45" t="s">
        <v>47</v>
      </c>
      <c r="B13" s="44">
        <f>'19-09-2025'!F113</f>
        <v>1133.3503597122326</v>
      </c>
      <c r="C13" s="44">
        <f>'19-09-2025'!G113</f>
        <v>78.933812949635467</v>
      </c>
      <c r="D13" s="44">
        <f>'19-09-2025'!H113</f>
        <v>237.817985611513</v>
      </c>
      <c r="E13" s="44">
        <f>'19-09-2025'!I113</f>
        <v>-363.51942446043176</v>
      </c>
      <c r="F13" s="44">
        <f>'19-09-2025'!J113</f>
        <v>-99.025899280575686</v>
      </c>
      <c r="G13" s="44">
        <f>'19-09-2025'!K113</f>
        <v>138.38705035971179</v>
      </c>
      <c r="H13" s="44">
        <f>'19-09-2025'!L113</f>
        <v>50.874820143886609</v>
      </c>
      <c r="J13" s="65"/>
      <c r="K13" s="65"/>
    </row>
    <row r="14" spans="1:11" x14ac:dyDescent="0.25">
      <c r="J14" s="65"/>
      <c r="K14" s="65"/>
    </row>
    <row r="15" spans="1:11" x14ac:dyDescent="0.25">
      <c r="I15" s="85"/>
      <c r="J15" s="65"/>
      <c r="K15" s="65"/>
    </row>
    <row r="16" spans="1:11" x14ac:dyDescent="0.25">
      <c r="A16" s="47">
        <v>45919</v>
      </c>
      <c r="B16" s="43"/>
      <c r="C16" s="43"/>
      <c r="D16" s="83"/>
      <c r="E16" s="83"/>
      <c r="F16" s="83"/>
      <c r="G16" s="83"/>
      <c r="I16" s="86"/>
      <c r="J16" s="65"/>
      <c r="K16" s="65"/>
    </row>
    <row r="17" spans="1:11" x14ac:dyDescent="0.25">
      <c r="A17" s="43"/>
      <c r="B17" s="43" t="s">
        <v>68</v>
      </c>
      <c r="C17" s="55" t="s">
        <v>69</v>
      </c>
      <c r="D17" s="47" t="s">
        <v>68</v>
      </c>
      <c r="E17" s="70" t="s">
        <v>69</v>
      </c>
      <c r="F17" s="47" t="s">
        <v>68</v>
      </c>
      <c r="G17" s="70" t="s">
        <v>69</v>
      </c>
      <c r="I17" s="69"/>
      <c r="J17" s="36"/>
      <c r="K17" s="2"/>
    </row>
    <row r="18" spans="1:11" x14ac:dyDescent="0.25">
      <c r="A18" s="43"/>
      <c r="B18" s="127" t="s">
        <v>52</v>
      </c>
      <c r="C18" s="128"/>
      <c r="D18" s="127" t="s">
        <v>48</v>
      </c>
      <c r="E18" s="128"/>
      <c r="F18" s="127" t="s">
        <v>53</v>
      </c>
      <c r="G18" s="128"/>
      <c r="H18" s="6"/>
      <c r="I18" s="65"/>
      <c r="J18" s="36"/>
      <c r="K18" s="2"/>
    </row>
    <row r="19" spans="1:11" x14ac:dyDescent="0.25">
      <c r="A19" s="67" t="s">
        <v>30</v>
      </c>
      <c r="B19" s="66" t="s">
        <v>45</v>
      </c>
      <c r="C19" s="79" t="s">
        <v>45</v>
      </c>
      <c r="D19" s="66" t="s">
        <v>45</v>
      </c>
      <c r="E19" s="79" t="s">
        <v>45</v>
      </c>
      <c r="F19" s="66" t="s">
        <v>45</v>
      </c>
      <c r="G19" s="79" t="s">
        <v>45</v>
      </c>
      <c r="H19" s="1"/>
      <c r="I19" s="65"/>
      <c r="J19" s="36"/>
      <c r="K19" s="2"/>
    </row>
    <row r="20" spans="1:11" x14ac:dyDescent="0.25">
      <c r="A20" s="67" t="s">
        <v>31</v>
      </c>
      <c r="B20" s="66" t="s">
        <v>45</v>
      </c>
      <c r="C20" s="79" t="s">
        <v>45</v>
      </c>
      <c r="D20" s="66" t="s">
        <v>45</v>
      </c>
      <c r="E20" s="79" t="s">
        <v>45</v>
      </c>
      <c r="F20" s="66" t="s">
        <v>45</v>
      </c>
      <c r="G20" s="79" t="s">
        <v>45</v>
      </c>
      <c r="H20" s="1"/>
      <c r="I20" s="65"/>
      <c r="J20" s="36"/>
      <c r="K20" s="4"/>
    </row>
    <row r="21" spans="1:11" x14ac:dyDescent="0.25">
      <c r="A21" s="67" t="s">
        <v>32</v>
      </c>
      <c r="B21" s="66" t="s">
        <v>45</v>
      </c>
      <c r="C21" s="79" t="s">
        <v>45</v>
      </c>
      <c r="D21" s="66" t="s">
        <v>45</v>
      </c>
      <c r="E21" s="79" t="s">
        <v>45</v>
      </c>
      <c r="F21" s="66" t="s">
        <v>45</v>
      </c>
      <c r="G21" s="79" t="s">
        <v>45</v>
      </c>
      <c r="H21" s="1"/>
      <c r="I21" s="65"/>
      <c r="J21" s="36"/>
      <c r="K21" s="4"/>
    </row>
    <row r="22" spans="1:11" x14ac:dyDescent="0.25">
      <c r="A22" s="67" t="s">
        <v>28</v>
      </c>
      <c r="B22" s="66" t="s">
        <v>45</v>
      </c>
      <c r="C22" s="79" t="s">
        <v>45</v>
      </c>
      <c r="D22" s="66" t="s">
        <v>45</v>
      </c>
      <c r="E22" s="79" t="s">
        <v>45</v>
      </c>
      <c r="F22" s="66" t="s">
        <v>45</v>
      </c>
      <c r="G22" s="79" t="s">
        <v>45</v>
      </c>
      <c r="H22" s="1"/>
      <c r="I22" s="65"/>
      <c r="J22" s="36"/>
      <c r="K22" s="2"/>
    </row>
    <row r="23" spans="1:11" x14ac:dyDescent="0.25">
      <c r="A23" s="67" t="s">
        <v>33</v>
      </c>
      <c r="B23" s="66">
        <v>27705</v>
      </c>
      <c r="C23" s="74">
        <v>27476</v>
      </c>
      <c r="D23" s="42">
        <f>(B23-$G$13)/$G$12</f>
        <v>202.75897113126598</v>
      </c>
      <c r="E23" s="42">
        <f>(C23-$G$13)/$G$12</f>
        <v>201.0746218615939</v>
      </c>
      <c r="F23" s="41">
        <f>D23/10000</f>
        <v>2.0275897113126599E-2</v>
      </c>
      <c r="G23" s="41">
        <f>E23/10000</f>
        <v>2.010746218615939E-2</v>
      </c>
      <c r="H23" s="4"/>
      <c r="I23" s="65"/>
      <c r="J23" s="36"/>
      <c r="K23" s="2"/>
    </row>
    <row r="24" spans="1:11" x14ac:dyDescent="0.25">
      <c r="A24" s="46" t="s">
        <v>34</v>
      </c>
      <c r="B24" s="66">
        <v>10617</v>
      </c>
      <c r="C24" s="74">
        <v>10420</v>
      </c>
      <c r="D24" s="42">
        <f>(B24-H13)/H12</f>
        <v>31.369507025672586</v>
      </c>
      <c r="E24" s="42">
        <f>(C24-H13)/H12</f>
        <v>30.784638610916435</v>
      </c>
      <c r="F24" s="41">
        <f t="shared" ref="F24:F41" si="0">D24/10000</f>
        <v>3.1369507025672586E-3</v>
      </c>
      <c r="G24" s="41">
        <f t="shared" ref="G24:G39" si="1">E24/10000</f>
        <v>3.0784638610916433E-3</v>
      </c>
      <c r="H24" s="4"/>
      <c r="I24" s="65"/>
      <c r="J24" s="36"/>
      <c r="K24" s="2"/>
    </row>
    <row r="25" spans="1:11" x14ac:dyDescent="0.25">
      <c r="A25" s="46" t="s">
        <v>55</v>
      </c>
      <c r="B25" s="66">
        <v>6203</v>
      </c>
      <c r="C25" s="74">
        <v>8530</v>
      </c>
      <c r="D25" s="42">
        <f>(B25-$D$13)/$D$12</f>
        <v>36.406235037722659</v>
      </c>
      <c r="E25" s="42">
        <f>(C25-$D$13)/$D$12</f>
        <v>50.608200498028118</v>
      </c>
      <c r="F25" s="41">
        <f t="shared" si="0"/>
        <v>3.640623503772266E-3</v>
      </c>
      <c r="G25" s="41">
        <f t="shared" si="1"/>
        <v>5.0608200498028118E-3</v>
      </c>
      <c r="H25" s="4"/>
      <c r="I25" s="65"/>
      <c r="J25" s="36"/>
      <c r="K25" s="2"/>
    </row>
    <row r="26" spans="1:11" x14ac:dyDescent="0.25">
      <c r="A26" s="46" t="s">
        <v>54</v>
      </c>
      <c r="B26" s="66">
        <v>5374</v>
      </c>
      <c r="C26" s="74">
        <v>7540</v>
      </c>
      <c r="D26" s="42">
        <f t="shared" ref="D26:D39" si="2">(B26-$D$13)/$D$12</f>
        <v>31.346746697974819</v>
      </c>
      <c r="E26" s="42">
        <f t="shared" ref="E26:E39" si="3">(C26-$D$13)/$D$12</f>
        <v>44.566109477098856</v>
      </c>
      <c r="F26" s="41">
        <f t="shared" si="0"/>
        <v>3.1346746697974819E-3</v>
      </c>
      <c r="G26" s="41">
        <f t="shared" si="1"/>
        <v>4.4566109477098851E-3</v>
      </c>
      <c r="H26" s="4"/>
      <c r="I26" s="65"/>
      <c r="J26" s="36"/>
      <c r="K26" s="2"/>
    </row>
    <row r="27" spans="1:11" x14ac:dyDescent="0.25">
      <c r="A27" s="46" t="s">
        <v>70</v>
      </c>
      <c r="B27" s="66">
        <v>10499</v>
      </c>
      <c r="C27" s="74">
        <v>9235</v>
      </c>
      <c r="D27" s="42">
        <f t="shared" si="2"/>
        <v>62.625248195209664</v>
      </c>
      <c r="E27" s="42">
        <f t="shared" si="3"/>
        <v>54.910901679598965</v>
      </c>
      <c r="F27" s="41">
        <f t="shared" si="0"/>
        <v>6.2625248195209661E-3</v>
      </c>
      <c r="G27" s="41">
        <f t="shared" si="1"/>
        <v>5.4910901679598965E-3</v>
      </c>
      <c r="H27" s="4"/>
      <c r="I27" s="65"/>
      <c r="J27" s="36"/>
      <c r="K27" s="2"/>
    </row>
    <row r="28" spans="1:11" s="51" customFormat="1" x14ac:dyDescent="0.25">
      <c r="A28" s="46" t="s">
        <v>56</v>
      </c>
      <c r="B28" s="66">
        <v>7810</v>
      </c>
      <c r="C28" s="74">
        <v>6244</v>
      </c>
      <c r="D28" s="42">
        <f t="shared" si="2"/>
        <v>46.213952482806832</v>
      </c>
      <c r="E28" s="42">
        <f t="shared" si="3"/>
        <v>36.656463049700541</v>
      </c>
      <c r="F28" s="41">
        <f t="shared" si="0"/>
        <v>4.6213952482806828E-3</v>
      </c>
      <c r="G28" s="41">
        <f t="shared" si="1"/>
        <v>3.6656463049700543E-3</v>
      </c>
      <c r="H28" s="4"/>
      <c r="I28" s="65"/>
      <c r="J28" s="49"/>
      <c r="K28" s="50"/>
    </row>
    <row r="29" spans="1:11" x14ac:dyDescent="0.25">
      <c r="A29" s="46" t="s">
        <v>57</v>
      </c>
      <c r="B29" s="66">
        <v>11672</v>
      </c>
      <c r="C29" s="74">
        <v>10694</v>
      </c>
      <c r="D29" s="42">
        <f t="shared" si="2"/>
        <v>69.784210586674334</v>
      </c>
      <c r="E29" s="42">
        <f t="shared" si="3"/>
        <v>63.815357032665425</v>
      </c>
      <c r="F29" s="41">
        <f t="shared" si="0"/>
        <v>6.9784210586674332E-3</v>
      </c>
      <c r="G29" s="41">
        <f t="shared" si="1"/>
        <v>6.3815357032665429E-3</v>
      </c>
      <c r="H29" s="4"/>
      <c r="I29" s="65"/>
      <c r="J29" s="36"/>
      <c r="K29" s="2"/>
    </row>
    <row r="30" spans="1:11" s="51" customFormat="1" x14ac:dyDescent="0.25">
      <c r="A30" s="46" t="s">
        <v>58</v>
      </c>
      <c r="B30" s="66">
        <v>6043</v>
      </c>
      <c r="C30" s="74">
        <v>5711</v>
      </c>
      <c r="D30" s="42">
        <f t="shared" si="2"/>
        <v>35.4297354787846</v>
      </c>
      <c r="E30" s="42">
        <f t="shared" si="3"/>
        <v>33.403498893988115</v>
      </c>
      <c r="F30" s="41">
        <f t="shared" si="0"/>
        <v>3.5429735478784601E-3</v>
      </c>
      <c r="G30" s="41">
        <f t="shared" si="1"/>
        <v>3.3403498893988114E-3</v>
      </c>
      <c r="H30" s="4"/>
      <c r="I30" s="65"/>
      <c r="J30" s="49"/>
      <c r="K30" s="50"/>
    </row>
    <row r="31" spans="1:11" x14ac:dyDescent="0.25">
      <c r="A31" s="46" t="s">
        <v>59</v>
      </c>
      <c r="B31" s="66">
        <v>61722</v>
      </c>
      <c r="C31" s="74">
        <v>59667</v>
      </c>
      <c r="D31" s="42">
        <f t="shared" si="2"/>
        <v>375.24547886698724</v>
      </c>
      <c r="E31" s="42">
        <f t="shared" si="3"/>
        <v>362.7035626568765</v>
      </c>
      <c r="F31" s="41">
        <f t="shared" si="0"/>
        <v>3.7524547886698727E-2</v>
      </c>
      <c r="G31" s="41">
        <f t="shared" si="1"/>
        <v>3.6270356265687649E-2</v>
      </c>
      <c r="H31" s="4"/>
      <c r="I31" s="65"/>
      <c r="J31" s="36"/>
      <c r="K31" s="2"/>
    </row>
    <row r="32" spans="1:11" x14ac:dyDescent="0.25">
      <c r="A32" s="46" t="s">
        <v>60</v>
      </c>
      <c r="B32" s="66">
        <v>32253</v>
      </c>
      <c r="C32" s="74">
        <v>32223</v>
      </c>
      <c r="D32" s="42">
        <f t="shared" si="2"/>
        <v>195.39256947732611</v>
      </c>
      <c r="E32" s="42">
        <f t="shared" si="3"/>
        <v>195.20947581002522</v>
      </c>
      <c r="F32" s="41">
        <f t="shared" si="0"/>
        <v>1.9539256947732609E-2</v>
      </c>
      <c r="G32" s="41">
        <f t="shared" si="1"/>
        <v>1.9520947581002524E-2</v>
      </c>
      <c r="H32" s="4"/>
      <c r="I32" s="65"/>
      <c r="J32" s="36"/>
      <c r="K32" s="2"/>
    </row>
    <row r="33" spans="1:11" x14ac:dyDescent="0.25">
      <c r="A33" s="46" t="s">
        <v>61</v>
      </c>
      <c r="B33" s="66">
        <v>12572</v>
      </c>
      <c r="C33" s="74">
        <v>13685</v>
      </c>
      <c r="D33" s="42">
        <f t="shared" si="2"/>
        <v>75.27702060570094</v>
      </c>
      <c r="E33" s="42">
        <f t="shared" si="3"/>
        <v>82.069795662563848</v>
      </c>
      <c r="F33" s="41">
        <f t="shared" si="0"/>
        <v>7.5277020605700939E-3</v>
      </c>
      <c r="G33" s="41">
        <f t="shared" si="1"/>
        <v>8.2069795662563852E-3</v>
      </c>
      <c r="H33" s="4"/>
      <c r="I33" s="65"/>
      <c r="J33" s="36"/>
      <c r="K33" s="2"/>
    </row>
    <row r="34" spans="1:11" x14ac:dyDescent="0.25">
      <c r="A34" s="46" t="s">
        <v>62</v>
      </c>
      <c r="B34" s="52">
        <v>17290</v>
      </c>
      <c r="C34" s="52">
        <v>19176</v>
      </c>
      <c r="D34" s="42">
        <f t="shared" si="2"/>
        <v>104.07155134988709</v>
      </c>
      <c r="E34" s="42">
        <f t="shared" si="3"/>
        <v>115.5820399008695</v>
      </c>
      <c r="F34" s="54">
        <f t="shared" si="0"/>
        <v>1.0407155134988709E-2</v>
      </c>
      <c r="G34" s="41">
        <f t="shared" si="1"/>
        <v>1.1558203990086951E-2</v>
      </c>
      <c r="H34" s="71"/>
      <c r="I34" s="48"/>
      <c r="J34" s="65"/>
      <c r="K34" s="4"/>
    </row>
    <row r="35" spans="1:11" x14ac:dyDescent="0.25">
      <c r="A35" s="46" t="s">
        <v>63</v>
      </c>
      <c r="B35" s="66">
        <v>5087</v>
      </c>
      <c r="C35" s="74">
        <v>5122</v>
      </c>
      <c r="D35" s="42">
        <f t="shared" si="2"/>
        <v>29.595150614129668</v>
      </c>
      <c r="E35" s="42">
        <f t="shared" si="3"/>
        <v>29.80875989264737</v>
      </c>
      <c r="F35" s="41">
        <f t="shared" si="0"/>
        <v>2.959515061412967E-3</v>
      </c>
      <c r="G35" s="41">
        <f t="shared" si="1"/>
        <v>2.980875989264737E-3</v>
      </c>
      <c r="H35" s="4"/>
      <c r="I35" s="65"/>
      <c r="J35" s="65"/>
      <c r="K35" s="4"/>
    </row>
    <row r="36" spans="1:11" x14ac:dyDescent="0.25">
      <c r="A36" s="46" t="s">
        <v>64</v>
      </c>
      <c r="B36" s="52">
        <v>15750</v>
      </c>
      <c r="C36" s="52">
        <v>14714</v>
      </c>
      <c r="D36" s="53">
        <f t="shared" si="2"/>
        <v>94.672743095108231</v>
      </c>
      <c r="E36" s="42">
        <f t="shared" si="3"/>
        <v>88.349908450984273</v>
      </c>
      <c r="F36" s="54">
        <f t="shared" si="0"/>
        <v>9.4672743095108227E-3</v>
      </c>
      <c r="G36" s="41">
        <f t="shared" si="1"/>
        <v>8.8349908450984279E-3</v>
      </c>
      <c r="H36" s="71"/>
      <c r="I36" s="48"/>
      <c r="J36" s="65"/>
      <c r="K36" s="4"/>
    </row>
    <row r="37" spans="1:11" x14ac:dyDescent="0.25">
      <c r="A37" s="46" t="s">
        <v>65</v>
      </c>
      <c r="B37" s="66">
        <v>12879</v>
      </c>
      <c r="C37" s="74">
        <v>14086</v>
      </c>
      <c r="D37" s="42">
        <f t="shared" si="2"/>
        <v>77.150679134413352</v>
      </c>
      <c r="E37" s="42">
        <f t="shared" si="3"/>
        <v>84.51714768215237</v>
      </c>
      <c r="F37" s="41">
        <f t="shared" si="0"/>
        <v>7.7150679134413355E-3</v>
      </c>
      <c r="G37" s="41">
        <f t="shared" si="1"/>
        <v>8.451714768215237E-3</v>
      </c>
      <c r="H37" s="4"/>
      <c r="I37" s="65"/>
    </row>
    <row r="38" spans="1:11" x14ac:dyDescent="0.25">
      <c r="A38" s="46" t="s">
        <v>66</v>
      </c>
      <c r="B38" s="66">
        <v>34702</v>
      </c>
      <c r="C38" s="74">
        <v>34370</v>
      </c>
      <c r="D38" s="42">
        <f t="shared" si="2"/>
        <v>210.33911585132182</v>
      </c>
      <c r="E38" s="42">
        <f t="shared" si="3"/>
        <v>208.31287926652533</v>
      </c>
      <c r="F38" s="41">
        <f t="shared" si="0"/>
        <v>2.1033911585132181E-2</v>
      </c>
      <c r="G38" s="41">
        <f t="shared" si="1"/>
        <v>2.0831287926652533E-2</v>
      </c>
      <c r="H38" s="4"/>
      <c r="I38" s="65"/>
    </row>
    <row r="39" spans="1:11" x14ac:dyDescent="0.25">
      <c r="A39" s="46" t="s">
        <v>67</v>
      </c>
      <c r="B39" s="66">
        <v>10516</v>
      </c>
      <c r="C39" s="74">
        <v>9253</v>
      </c>
      <c r="D39" s="42">
        <f t="shared" si="2"/>
        <v>62.729001273346832</v>
      </c>
      <c r="E39" s="42">
        <f t="shared" si="3"/>
        <v>55.020757879979492</v>
      </c>
      <c r="F39" s="41">
        <f t="shared" si="0"/>
        <v>6.2729001273346833E-3</v>
      </c>
      <c r="G39" s="41">
        <f t="shared" si="1"/>
        <v>5.5020757879979494E-3</v>
      </c>
      <c r="H39" s="4"/>
      <c r="I39" s="65"/>
    </row>
    <row r="40" spans="1:11" x14ac:dyDescent="0.25">
      <c r="A40" s="46" t="s">
        <v>49</v>
      </c>
      <c r="B40" s="70"/>
      <c r="C40" s="70"/>
      <c r="D40" s="42">
        <f>SUM(D25:D39)</f>
        <v>1506.2794387473941</v>
      </c>
      <c r="E40" s="42">
        <f>SUM(E25:E39)</f>
        <v>1505.5348578337039</v>
      </c>
      <c r="F40" s="41">
        <f t="shared" si="0"/>
        <v>0.15062794387473941</v>
      </c>
      <c r="G40" s="41">
        <f>E40/10000</f>
        <v>0.15055348578337038</v>
      </c>
      <c r="H40" s="4"/>
      <c r="I40" s="65"/>
    </row>
    <row r="41" spans="1:11" x14ac:dyDescent="0.25">
      <c r="A41" s="46" t="s">
        <v>46</v>
      </c>
      <c r="B41" s="70"/>
      <c r="C41" s="70"/>
      <c r="D41" s="42">
        <f>D23+D24+D40</f>
        <v>1740.4079169043328</v>
      </c>
      <c r="E41" s="42">
        <f>E23+E24+E40</f>
        <v>1737.3941183062143</v>
      </c>
      <c r="F41" s="41">
        <f t="shared" si="0"/>
        <v>0.17404079169043327</v>
      </c>
      <c r="G41" s="41">
        <f>E41/10000</f>
        <v>0.17373941183062144</v>
      </c>
      <c r="H41" s="4"/>
      <c r="I41" s="65"/>
    </row>
    <row r="42" spans="1:11" x14ac:dyDescent="0.25">
      <c r="A42" s="124" t="s">
        <v>51</v>
      </c>
      <c r="B42" s="125"/>
      <c r="C42" s="125"/>
      <c r="D42" s="125"/>
      <c r="E42" s="126"/>
      <c r="F42" s="68">
        <f>100-F41</f>
        <v>99.82595920830957</v>
      </c>
      <c r="G42" s="75">
        <f>100-G41</f>
        <v>99.826260588169376</v>
      </c>
      <c r="H42" s="4"/>
      <c r="I42" s="65"/>
    </row>
    <row r="43" spans="1:11" x14ac:dyDescent="0.25">
      <c r="A43" s="82"/>
      <c r="B43" s="82"/>
      <c r="C43" s="82"/>
      <c r="D43" s="82"/>
      <c r="E43" s="82"/>
      <c r="F43" s="80"/>
      <c r="G43" s="81"/>
    </row>
  </sheetData>
  <mergeCells count="10">
    <mergeCell ref="G5:H8"/>
    <mergeCell ref="A42:E42"/>
    <mergeCell ref="F18:G18"/>
    <mergeCell ref="B18:C18"/>
    <mergeCell ref="D18:E18"/>
    <mergeCell ref="A5:F5"/>
    <mergeCell ref="A6:F6"/>
    <mergeCell ref="B7:F7"/>
    <mergeCell ref="B8:F8"/>
    <mergeCell ref="B9:E9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35"/>
  <sheetViews>
    <sheetView topLeftCell="A7" zoomScaleNormal="100" zoomScaleSheetLayoutView="100" workbookViewId="0">
      <pane xSplit="1" topLeftCell="B1" activePane="topRight" state="frozen"/>
      <selection pane="topRight" activeCell="D33" sqref="D33:D34"/>
    </sheetView>
  </sheetViews>
  <sheetFormatPr defaultRowHeight="15" x14ac:dyDescent="0.25"/>
  <cols>
    <col min="1" max="1" width="19.5703125" style="40" bestFit="1" customWidth="1"/>
    <col min="2" max="2" width="36.5703125" style="40" customWidth="1"/>
    <col min="3" max="3" width="34.5703125" style="40" customWidth="1"/>
    <col min="4" max="4" width="39.42578125" style="40" customWidth="1"/>
    <col min="5" max="6" width="26.140625" style="40" bestFit="1" customWidth="1"/>
    <col min="7" max="7" width="26.140625" style="40" customWidth="1"/>
    <col min="8" max="8" width="5.7109375" style="40" bestFit="1" customWidth="1"/>
    <col min="9" max="9" width="16.140625" style="40" bestFit="1" customWidth="1"/>
    <col min="10" max="10" width="9.140625" style="40"/>
    <col min="11" max="11" width="14.140625" style="40" bestFit="1" customWidth="1"/>
    <col min="12" max="12" width="16.140625" style="40" bestFit="1" customWidth="1"/>
    <col min="13" max="16384" width="9.140625" style="40"/>
  </cols>
  <sheetData>
    <row r="2" spans="1:11" x14ac:dyDescent="0.25">
      <c r="A2" s="45" t="s">
        <v>50</v>
      </c>
      <c r="B2" s="45" t="str">
        <f>'19-09-2025'!F111</f>
        <v>TABA</v>
      </c>
      <c r="C2" s="45" t="str">
        <f>'19-09-2025'!G111</f>
        <v>4,4-DABA</v>
      </c>
      <c r="D2" s="45" t="str">
        <f>'19-09-2025'!H111</f>
        <v>DAPBI</v>
      </c>
      <c r="E2" s="45" t="str">
        <f>'19-09-2025'!I111</f>
        <v>2-AP 4-AB</v>
      </c>
      <c r="F2" s="45" t="str">
        <f>'19-09-2025'!J111</f>
        <v>DAPBA</v>
      </c>
      <c r="G2" s="45" t="str">
        <f>'19-09-2025'!K111</f>
        <v>PABI</v>
      </c>
      <c r="H2" s="45" t="str">
        <f>'19-09-2025'!L111</f>
        <v>4-BIA</v>
      </c>
    </row>
    <row r="3" spans="1:11" x14ac:dyDescent="0.25">
      <c r="A3" s="45" t="s">
        <v>36</v>
      </c>
      <c r="B3" s="44">
        <f>'19-09-2025'!F112</f>
        <v>108.19529409514003</v>
      </c>
      <c r="C3" s="44">
        <f>'19-09-2025'!G112</f>
        <v>194.01841542258674</v>
      </c>
      <c r="D3" s="44">
        <f>'19-09-2025'!H112</f>
        <v>163.85056043855147</v>
      </c>
      <c r="E3" s="44">
        <f>'19-09-2025'!I112</f>
        <v>117.55997863213743</v>
      </c>
      <c r="F3" s="44">
        <f>'19-09-2025'!J112</f>
        <v>11.003438786178778</v>
      </c>
      <c r="G3" s="44">
        <f>'19-09-2025'!K112</f>
        <v>135.95754997096373</v>
      </c>
      <c r="H3" s="44">
        <f>'19-09-2025'!L112</f>
        <v>336.82790013910227</v>
      </c>
    </row>
    <row r="4" spans="1:11" x14ac:dyDescent="0.25">
      <c r="A4" s="45" t="s">
        <v>47</v>
      </c>
      <c r="B4" s="44">
        <f>'19-09-2025'!F113</f>
        <v>1133.3503597122326</v>
      </c>
      <c r="C4" s="44">
        <f>'19-09-2025'!G113</f>
        <v>78.933812949635467</v>
      </c>
      <c r="D4" s="44">
        <f>'19-09-2025'!H113</f>
        <v>237.817985611513</v>
      </c>
      <c r="E4" s="44">
        <f>'19-09-2025'!I113</f>
        <v>-363.51942446043176</v>
      </c>
      <c r="F4" s="44">
        <f>'19-09-2025'!J113</f>
        <v>-99.025899280575686</v>
      </c>
      <c r="G4" s="44">
        <f>'19-09-2025'!K113</f>
        <v>138.38705035971179</v>
      </c>
      <c r="H4" s="44">
        <f>'19-09-2025'!L113</f>
        <v>50.874820143886609</v>
      </c>
    </row>
    <row r="6" spans="1:11" x14ac:dyDescent="0.25">
      <c r="I6" s="129"/>
      <c r="J6" s="129"/>
      <c r="K6" s="129"/>
    </row>
    <row r="7" spans="1:11" x14ac:dyDescent="0.25">
      <c r="A7" s="47">
        <v>45919</v>
      </c>
      <c r="D7" s="56"/>
      <c r="E7" s="56"/>
      <c r="F7" s="56"/>
      <c r="G7" s="57"/>
      <c r="I7" s="130"/>
      <c r="J7" s="130"/>
      <c r="K7" s="130"/>
    </row>
    <row r="8" spans="1:11" x14ac:dyDescent="0.25">
      <c r="A8" s="43"/>
      <c r="B8" s="43" t="s">
        <v>71</v>
      </c>
      <c r="C8" s="47" t="str">
        <f>B8</f>
        <v>SA002/APB/A03(DAPBI)/026(4th day)</v>
      </c>
      <c r="D8" s="47" t="str">
        <f>B8</f>
        <v>SA002/APB/A03(DAPBI)/026(4th day)</v>
      </c>
      <c r="F8" s="76"/>
      <c r="G8" s="76"/>
      <c r="H8" s="76"/>
    </row>
    <row r="9" spans="1:11" x14ac:dyDescent="0.25">
      <c r="A9" s="43"/>
      <c r="B9" s="55" t="s">
        <v>52</v>
      </c>
      <c r="C9" s="55" t="s">
        <v>48</v>
      </c>
      <c r="D9" s="55" t="s">
        <v>53</v>
      </c>
      <c r="E9" s="6"/>
      <c r="F9" s="73"/>
      <c r="G9" s="73"/>
      <c r="H9" s="73"/>
    </row>
    <row r="10" spans="1:11" x14ac:dyDescent="0.25">
      <c r="A10" s="72" t="s">
        <v>30</v>
      </c>
      <c r="B10" s="74" t="s">
        <v>45</v>
      </c>
      <c r="C10" s="74" t="s">
        <v>45</v>
      </c>
      <c r="D10" s="74" t="s">
        <v>45</v>
      </c>
      <c r="E10" s="1"/>
      <c r="F10" s="73"/>
      <c r="G10" s="73"/>
      <c r="H10" s="73"/>
    </row>
    <row r="11" spans="1:11" x14ac:dyDescent="0.25">
      <c r="A11" s="72" t="s">
        <v>31</v>
      </c>
      <c r="B11" s="74" t="s">
        <v>45</v>
      </c>
      <c r="C11" s="74" t="s">
        <v>45</v>
      </c>
      <c r="D11" s="74" t="s">
        <v>45</v>
      </c>
      <c r="E11" s="1"/>
      <c r="F11" s="73"/>
      <c r="G11" s="73"/>
      <c r="H11" s="73"/>
    </row>
    <row r="12" spans="1:11" x14ac:dyDescent="0.25">
      <c r="A12" s="72" t="s">
        <v>32</v>
      </c>
      <c r="B12" s="74" t="s">
        <v>45</v>
      </c>
      <c r="C12" s="74" t="s">
        <v>45</v>
      </c>
      <c r="D12" s="74" t="s">
        <v>45</v>
      </c>
      <c r="E12" s="1"/>
      <c r="F12" s="73"/>
      <c r="G12" s="73"/>
      <c r="H12" s="73"/>
    </row>
    <row r="13" spans="1:11" x14ac:dyDescent="0.25">
      <c r="A13" s="72" t="s">
        <v>28</v>
      </c>
      <c r="B13" s="74" t="s">
        <v>45</v>
      </c>
      <c r="C13" s="74" t="s">
        <v>45</v>
      </c>
      <c r="D13" s="74" t="s">
        <v>45</v>
      </c>
      <c r="E13" s="1"/>
      <c r="F13" s="73"/>
      <c r="G13" s="73"/>
      <c r="H13" s="73"/>
    </row>
    <row r="14" spans="1:11" x14ac:dyDescent="0.25">
      <c r="A14" s="72" t="s">
        <v>33</v>
      </c>
      <c r="B14" s="74">
        <v>23241</v>
      </c>
      <c r="C14" s="42">
        <f>(B14-$G$4)/$G$3</f>
        <v>169.92519322813834</v>
      </c>
      <c r="D14" s="41">
        <f t="shared" ref="D14:D32" si="0">C14/10000</f>
        <v>1.6992519322813836E-2</v>
      </c>
      <c r="E14" s="4"/>
      <c r="F14" s="73"/>
      <c r="G14" s="36"/>
      <c r="H14" s="2"/>
    </row>
    <row r="15" spans="1:11" x14ac:dyDescent="0.25">
      <c r="A15" s="46" t="s">
        <v>34</v>
      </c>
      <c r="B15" s="74">
        <v>11104</v>
      </c>
      <c r="C15" s="42">
        <f>(B15-H4)/H3</f>
        <v>32.815349248953019</v>
      </c>
      <c r="D15" s="41">
        <f t="shared" si="0"/>
        <v>3.2815349248953019E-3</v>
      </c>
      <c r="E15" s="4"/>
      <c r="F15" s="73"/>
      <c r="G15" s="36"/>
      <c r="H15" s="2"/>
    </row>
    <row r="16" spans="1:11" x14ac:dyDescent="0.25">
      <c r="A16" s="46" t="s">
        <v>55</v>
      </c>
      <c r="B16" s="74">
        <v>7884</v>
      </c>
      <c r="C16" s="42">
        <f t="shared" ref="C16:C30" si="1">(B16-$D$4)/$D$3</f>
        <v>46.665583528815688</v>
      </c>
      <c r="D16" s="41">
        <f t="shared" si="0"/>
        <v>4.6665583528815689E-3</v>
      </c>
      <c r="E16" s="4"/>
      <c r="F16" s="73"/>
      <c r="G16" s="36"/>
      <c r="H16" s="2"/>
    </row>
    <row r="17" spans="1:8" x14ac:dyDescent="0.25">
      <c r="A17" s="46" t="s">
        <v>54</v>
      </c>
      <c r="B17" s="74">
        <v>4930</v>
      </c>
      <c r="C17" s="42">
        <f t="shared" si="1"/>
        <v>28.636960421921696</v>
      </c>
      <c r="D17" s="41">
        <f t="shared" si="0"/>
        <v>2.8636960421921697E-3</v>
      </c>
      <c r="E17" s="4"/>
      <c r="F17" s="73"/>
      <c r="G17" s="36"/>
      <c r="H17" s="4"/>
    </row>
    <row r="18" spans="1:8" x14ac:dyDescent="0.25">
      <c r="A18" s="46" t="s">
        <v>70</v>
      </c>
      <c r="B18" s="74">
        <v>11101</v>
      </c>
      <c r="C18" s="42">
        <f t="shared" si="1"/>
        <v>66.299327785714127</v>
      </c>
      <c r="D18" s="41">
        <f t="shared" si="0"/>
        <v>6.6299327785714129E-3</v>
      </c>
      <c r="E18" s="4"/>
      <c r="F18" s="73"/>
      <c r="G18" s="36"/>
      <c r="H18" s="4"/>
    </row>
    <row r="19" spans="1:8" x14ac:dyDescent="0.25">
      <c r="A19" s="46" t="s">
        <v>56</v>
      </c>
      <c r="B19" s="74">
        <v>6210</v>
      </c>
      <c r="C19" s="42">
        <f t="shared" si="1"/>
        <v>36.4489568934262</v>
      </c>
      <c r="D19" s="41">
        <f t="shared" si="0"/>
        <v>3.6448956893426199E-3</v>
      </c>
      <c r="E19" s="4"/>
      <c r="F19" s="73"/>
      <c r="G19" s="36"/>
      <c r="H19" s="2"/>
    </row>
    <row r="20" spans="1:8" x14ac:dyDescent="0.25">
      <c r="A20" s="46" t="s">
        <v>57</v>
      </c>
      <c r="B20" s="74">
        <v>8921</v>
      </c>
      <c r="C20" s="42">
        <f t="shared" si="1"/>
        <v>52.994521295183013</v>
      </c>
      <c r="D20" s="41">
        <f t="shared" si="0"/>
        <v>5.2994521295183011E-3</v>
      </c>
      <c r="E20" s="4"/>
      <c r="F20" s="73"/>
      <c r="G20" s="36"/>
      <c r="H20" s="2"/>
    </row>
    <row r="21" spans="1:8" x14ac:dyDescent="0.25">
      <c r="A21" s="46" t="s">
        <v>58</v>
      </c>
      <c r="B21" s="74">
        <v>8324</v>
      </c>
      <c r="C21" s="42">
        <f t="shared" si="1"/>
        <v>49.350957315895364</v>
      </c>
      <c r="D21" s="41">
        <f t="shared" si="0"/>
        <v>4.9350957315895368E-3</v>
      </c>
      <c r="E21" s="4"/>
      <c r="F21" s="73"/>
      <c r="G21" s="36"/>
      <c r="H21" s="2"/>
    </row>
    <row r="22" spans="1:8" x14ac:dyDescent="0.25">
      <c r="A22" s="46" t="s">
        <v>59</v>
      </c>
      <c r="B22" s="74">
        <v>56578</v>
      </c>
      <c r="C22" s="42">
        <f t="shared" si="1"/>
        <v>343.85101804712855</v>
      </c>
      <c r="D22" s="41">
        <f t="shared" si="0"/>
        <v>3.4385101804712853E-2</v>
      </c>
      <c r="E22" s="4"/>
      <c r="F22" s="73"/>
      <c r="G22" s="36"/>
      <c r="H22" s="2"/>
    </row>
    <row r="23" spans="1:8" x14ac:dyDescent="0.25">
      <c r="A23" s="46" t="s">
        <v>60</v>
      </c>
      <c r="B23" s="74">
        <v>23525</v>
      </c>
      <c r="C23" s="42">
        <f t="shared" si="1"/>
        <v>142.12451853725474</v>
      </c>
      <c r="D23" s="41">
        <f t="shared" si="0"/>
        <v>1.4212451853725475E-2</v>
      </c>
      <c r="E23" s="4"/>
      <c r="F23" s="73"/>
      <c r="G23" s="36"/>
      <c r="H23" s="2"/>
    </row>
    <row r="24" spans="1:8" x14ac:dyDescent="0.25">
      <c r="A24" s="46" t="s">
        <v>61</v>
      </c>
      <c r="B24" s="74">
        <v>12945</v>
      </c>
      <c r="C24" s="42">
        <f t="shared" si="1"/>
        <v>77.553485202475301</v>
      </c>
      <c r="D24" s="41">
        <f t="shared" si="0"/>
        <v>7.7553485202475304E-3</v>
      </c>
      <c r="E24" s="4"/>
      <c r="F24" s="73"/>
      <c r="G24" s="36"/>
      <c r="H24" s="2"/>
    </row>
    <row r="25" spans="1:8" s="51" customFormat="1" x14ac:dyDescent="0.25">
      <c r="A25" s="46" t="s">
        <v>62</v>
      </c>
      <c r="B25" s="52">
        <v>20855</v>
      </c>
      <c r="C25" s="42">
        <f t="shared" si="1"/>
        <v>125.82918214747581</v>
      </c>
      <c r="D25" s="54">
        <f t="shared" si="0"/>
        <v>1.2582918214747581E-2</v>
      </c>
      <c r="E25" s="78"/>
      <c r="F25" s="48"/>
      <c r="G25" s="49"/>
      <c r="H25" s="50"/>
    </row>
    <row r="26" spans="1:8" x14ac:dyDescent="0.25">
      <c r="A26" s="46" t="s">
        <v>63</v>
      </c>
      <c r="B26" s="74">
        <v>5001</v>
      </c>
      <c r="C26" s="42">
        <f t="shared" si="1"/>
        <v>29.070282101200462</v>
      </c>
      <c r="D26" s="41">
        <f t="shared" si="0"/>
        <v>2.9070282101200462E-3</v>
      </c>
      <c r="E26" s="4"/>
      <c r="F26" s="73"/>
      <c r="G26" s="36"/>
      <c r="H26" s="2"/>
    </row>
    <row r="27" spans="1:8" s="51" customFormat="1" x14ac:dyDescent="0.25">
      <c r="A27" s="46" t="s">
        <v>64</v>
      </c>
      <c r="B27" s="52">
        <v>18865</v>
      </c>
      <c r="C27" s="53">
        <f t="shared" si="1"/>
        <v>113.68396888318365</v>
      </c>
      <c r="D27" s="54">
        <f t="shared" si="0"/>
        <v>1.1368396888318364E-2</v>
      </c>
      <c r="E27" s="78"/>
      <c r="F27" s="48"/>
      <c r="G27" s="49"/>
      <c r="H27" s="50"/>
    </row>
    <row r="28" spans="1:8" x14ac:dyDescent="0.25">
      <c r="A28" s="46" t="s">
        <v>65</v>
      </c>
      <c r="B28" s="74">
        <v>12428</v>
      </c>
      <c r="C28" s="42">
        <f t="shared" si="1"/>
        <v>74.398171002656682</v>
      </c>
      <c r="D28" s="41">
        <f t="shared" si="0"/>
        <v>7.4398171002656678E-3</v>
      </c>
      <c r="E28" s="4"/>
      <c r="F28" s="73"/>
      <c r="G28" s="36"/>
      <c r="H28" s="2"/>
    </row>
    <row r="29" spans="1:8" x14ac:dyDescent="0.25">
      <c r="A29" s="46" t="s">
        <v>66</v>
      </c>
      <c r="B29" s="74">
        <v>23436</v>
      </c>
      <c r="C29" s="42">
        <f t="shared" si="1"/>
        <v>141.58134065759543</v>
      </c>
      <c r="D29" s="41">
        <f t="shared" si="0"/>
        <v>1.4158134065759543E-2</v>
      </c>
      <c r="E29" s="4"/>
      <c r="F29" s="73"/>
      <c r="G29" s="36"/>
      <c r="H29" s="2"/>
    </row>
    <row r="30" spans="1:8" x14ac:dyDescent="0.25">
      <c r="A30" s="46" t="s">
        <v>67</v>
      </c>
      <c r="B30" s="74">
        <v>6985</v>
      </c>
      <c r="C30" s="42">
        <f t="shared" si="1"/>
        <v>41.178876632032448</v>
      </c>
      <c r="D30" s="41">
        <f t="shared" si="0"/>
        <v>4.1178876632032447E-3</v>
      </c>
      <c r="E30" s="4"/>
      <c r="F30" s="73"/>
      <c r="G30" s="36"/>
      <c r="H30" s="2"/>
    </row>
    <row r="31" spans="1:8" x14ac:dyDescent="0.25">
      <c r="A31" s="46" t="s">
        <v>49</v>
      </c>
      <c r="B31" s="77"/>
      <c r="C31" s="42">
        <f>SUM(C16:C30)</f>
        <v>1369.6671504519591</v>
      </c>
      <c r="D31" s="41">
        <f t="shared" si="0"/>
        <v>0.13696671504519592</v>
      </c>
      <c r="E31" s="4"/>
      <c r="F31" s="73"/>
      <c r="G31" s="73"/>
      <c r="H31" s="4"/>
    </row>
    <row r="32" spans="1:8" x14ac:dyDescent="0.25">
      <c r="A32" s="46" t="s">
        <v>46</v>
      </c>
      <c r="B32" s="77"/>
      <c r="C32" s="42">
        <f>C14+C15+C31</f>
        <v>1572.4076929290504</v>
      </c>
      <c r="D32" s="41">
        <f t="shared" si="0"/>
        <v>0.15724076929290504</v>
      </c>
      <c r="E32" s="4"/>
      <c r="F32" s="73"/>
      <c r="G32" s="73"/>
      <c r="H32" s="4"/>
    </row>
    <row r="33" spans="1:9" x14ac:dyDescent="0.25">
      <c r="A33" s="131" t="s">
        <v>51</v>
      </c>
      <c r="B33" s="132"/>
      <c r="C33" s="133"/>
      <c r="D33" s="137">
        <f>100-D32</f>
        <v>99.842759230707088</v>
      </c>
      <c r="E33" s="130"/>
      <c r="F33" s="4"/>
      <c r="G33" s="73"/>
      <c r="H33" s="73"/>
      <c r="I33" s="4"/>
    </row>
    <row r="34" spans="1:9" x14ac:dyDescent="0.25">
      <c r="A34" s="134"/>
      <c r="B34" s="135"/>
      <c r="C34" s="136"/>
      <c r="D34" s="138"/>
      <c r="E34" s="115"/>
    </row>
    <row r="35" spans="1:9" x14ac:dyDescent="0.25">
      <c r="E35" s="78"/>
    </row>
  </sheetData>
  <mergeCells count="5">
    <mergeCell ref="I6:K6"/>
    <mergeCell ref="I7:K7"/>
    <mergeCell ref="A33:C34"/>
    <mergeCell ref="D33:D34"/>
    <mergeCell ref="E33:E34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19-09-2025</vt:lpstr>
      <vt:lpstr>Sheet1</vt:lpstr>
      <vt:lpstr>4mgmL Sample(27&amp;26)(19-09-2025)</vt:lpstr>
      <vt:lpstr>4mgmL Sample(26)(4th day)</vt:lpstr>
      <vt:lpstr>'19-09-2025'!Print_Area</vt:lpstr>
      <vt:lpstr>'4mgmL Sample(26)(4th day)'!Print_Area</vt:lpstr>
      <vt:lpstr>'4mgmL Sample(27&amp;26)(19-09-2025)'!Print_Area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cp:lastPrinted>2025-09-22T06:16:15Z</cp:lastPrinted>
  <dcterms:created xsi:type="dcterms:W3CDTF">2025-05-20T04:50:55Z</dcterms:created>
  <dcterms:modified xsi:type="dcterms:W3CDTF">2025-09-22T06:17:09Z</dcterms:modified>
</cp:coreProperties>
</file>